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\Desktop\Aguas del Huila\2026\INDICADORES DE GESTION\INDICADORES DE GESTION 2025\"/>
    </mc:Choice>
  </mc:AlternateContent>
  <xr:revisionPtr revIDLastSave="0" documentId="13_ncr:1_{D51203BE-524F-47B4-9DC1-D2C3F2F3A8F5}" xr6:coauthVersionLast="47" xr6:coauthVersionMax="47" xr10:uidLastSave="{00000000-0000-0000-0000-000000000000}"/>
  <workbookProtection workbookAlgorithmName="SHA-512" workbookHashValue="AjIPHQWpiMDfbweNFW8uLKo5FjRRWx2iAr99OQleF1ctxRkJ/31cBir4SWVDYmZjobX/gspaQcJJgKajK9u7UQ==" workbookSaltValue="u1sNtVw1MezCFGomSBD8Mg==" workbookSpinCount="100000" lockStructure="1"/>
  <bookViews>
    <workbookView xWindow="-120" yWindow="-120" windowWidth="20730" windowHeight="11040" firstSheet="1" activeTab="1" xr2:uid="{00000000-000D-0000-FFFF-FFFF00000000}"/>
  </bookViews>
  <sheets>
    <sheet name="SET SP Paicol" sheetId="1" r:id="rId1"/>
    <sheet name="01" sheetId="55" r:id="rId2"/>
    <sheet name="02" sheetId="56" r:id="rId3"/>
    <sheet name="03" sheetId="60" r:id="rId4"/>
    <sheet name="04" sheetId="61" r:id="rId5"/>
    <sheet name="05" sheetId="62" r:id="rId6"/>
    <sheet name="06" sheetId="36" r:id="rId7"/>
    <sheet name="07" sheetId="38" r:id="rId8"/>
    <sheet name="08" sheetId="58" r:id="rId9"/>
    <sheet name="09" sheetId="59" r:id="rId10"/>
    <sheet name="10" sheetId="63" r:id="rId11"/>
    <sheet name="11" sheetId="64" r:id="rId12"/>
    <sheet name="12" sheetId="65" r:id="rId13"/>
    <sheet name="13" sheetId="68" r:id="rId14"/>
    <sheet name="14" sheetId="66" r:id="rId15"/>
    <sheet name="PAICOL2020" sheetId="69" r:id="rId16"/>
  </sheets>
  <definedNames>
    <definedName name="_xlnm.Print_Area" localSheetId="15">PAICOL2020!$A$2:$C$67</definedName>
    <definedName name="_xlnm.Print_Titles" localSheetId="0">'SET SP Paicol'!$1:$7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69" l="1"/>
  <c r="G20" i="69"/>
  <c r="G14" i="69"/>
  <c r="G16" i="69"/>
  <c r="F23" i="69"/>
  <c r="F21" i="69"/>
  <c r="F17" i="69"/>
  <c r="F15" i="69"/>
  <c r="F20" i="69"/>
  <c r="F22" i="69"/>
  <c r="F16" i="69"/>
  <c r="F14" i="69"/>
  <c r="E23" i="69"/>
  <c r="E21" i="69"/>
  <c r="E17" i="69"/>
  <c r="E15" i="69"/>
  <c r="E22" i="69"/>
  <c r="E20" i="69"/>
  <c r="E16" i="69"/>
  <c r="E14" i="69"/>
  <c r="D23" i="69"/>
  <c r="D21" i="69"/>
  <c r="D17" i="69"/>
  <c r="D15" i="69"/>
  <c r="D22" i="69"/>
  <c r="D20" i="69"/>
  <c r="D16" i="69"/>
  <c r="D14" i="69"/>
  <c r="G11" i="69"/>
  <c r="G10" i="69"/>
  <c r="F11" i="69"/>
  <c r="F10" i="69"/>
  <c r="E11" i="69"/>
  <c r="E10" i="69"/>
  <c r="D11" i="69"/>
  <c r="D10" i="69"/>
  <c r="P36" i="69"/>
  <c r="P38" i="69" l="1"/>
  <c r="O53" i="69" l="1"/>
  <c r="O54" i="69"/>
  <c r="O55" i="69"/>
  <c r="O23" i="69"/>
  <c r="O21" i="69"/>
  <c r="O17" i="69"/>
  <c r="O15" i="69"/>
  <c r="O22" i="69"/>
  <c r="O20" i="69"/>
  <c r="O16" i="69"/>
  <c r="O14" i="69"/>
  <c r="O11" i="69" l="1"/>
  <c r="O10" i="69"/>
  <c r="G27" i="69"/>
  <c r="H55" i="69" l="1"/>
  <c r="G55" i="69"/>
  <c r="F21" i="38" s="1"/>
  <c r="E20" i="58"/>
  <c r="D20" i="58"/>
  <c r="C20" i="58"/>
  <c r="P11" i="69"/>
  <c r="P9" i="69"/>
  <c r="P15" i="69"/>
  <c r="P16" i="69"/>
  <c r="P17" i="69"/>
  <c r="P18" i="69"/>
  <c r="P19" i="69"/>
  <c r="P14" i="69"/>
  <c r="H27" i="69"/>
  <c r="F29" i="69"/>
  <c r="E29" i="69"/>
  <c r="E26" i="69"/>
  <c r="F26" i="69"/>
  <c r="G26" i="69"/>
  <c r="H26" i="69"/>
  <c r="I26" i="69"/>
  <c r="J26" i="69"/>
  <c r="E27" i="69"/>
  <c r="E64" i="69" s="1"/>
  <c r="J27" i="69"/>
  <c r="J64" i="69" s="1"/>
  <c r="J31" i="69"/>
  <c r="J29" i="69"/>
  <c r="E28" i="69"/>
  <c r="F28" i="69"/>
  <c r="G28" i="69"/>
  <c r="H28" i="69"/>
  <c r="I28" i="69"/>
  <c r="J28" i="69"/>
  <c r="J65" i="69" s="1"/>
  <c r="G29" i="69"/>
  <c r="I29" i="69"/>
  <c r="E30" i="69"/>
  <c r="F30" i="69"/>
  <c r="G30" i="69"/>
  <c r="H30" i="69"/>
  <c r="I30" i="69"/>
  <c r="I32" i="69"/>
  <c r="J30" i="69"/>
  <c r="E31" i="69"/>
  <c r="E66" i="69" s="1"/>
  <c r="F31" i="69"/>
  <c r="G31" i="69"/>
  <c r="H31" i="69"/>
  <c r="H66" i="69" s="1"/>
  <c r="I31" i="69"/>
  <c r="I66" i="69" s="1"/>
  <c r="H32" i="69"/>
  <c r="I27" i="69"/>
  <c r="H20" i="56" s="1"/>
  <c r="H29" i="69"/>
  <c r="H33" i="69" s="1"/>
  <c r="F27" i="69"/>
  <c r="H57" i="69"/>
  <c r="E52" i="69"/>
  <c r="F52" i="69"/>
  <c r="G52" i="69"/>
  <c r="H52" i="69"/>
  <c r="I52" i="69"/>
  <c r="J52" i="69"/>
  <c r="K52" i="69"/>
  <c r="L52" i="69"/>
  <c r="M52" i="69"/>
  <c r="N52" i="69"/>
  <c r="O52" i="69"/>
  <c r="D52" i="69"/>
  <c r="E45" i="69"/>
  <c r="F45" i="69"/>
  <c r="G45" i="69"/>
  <c r="H45" i="69"/>
  <c r="I45" i="69"/>
  <c r="J45" i="69"/>
  <c r="K45" i="69"/>
  <c r="L45" i="69"/>
  <c r="M45" i="69"/>
  <c r="N45" i="69"/>
  <c r="O45" i="69"/>
  <c r="D45" i="69"/>
  <c r="C20" i="55"/>
  <c r="D20" i="55"/>
  <c r="E20" i="55"/>
  <c r="C21" i="55"/>
  <c r="C21" i="60" s="1"/>
  <c r="C22" i="60" s="1"/>
  <c r="D21" i="55"/>
  <c r="E21" i="55"/>
  <c r="E21" i="60" s="1"/>
  <c r="C19" i="65"/>
  <c r="K20" i="64"/>
  <c r="K19" i="64" s="1"/>
  <c r="U18" i="1" s="1"/>
  <c r="L20" i="64"/>
  <c r="L19" i="64" s="1"/>
  <c r="V18" i="1" s="1"/>
  <c r="M20" i="64"/>
  <c r="M19" i="64" s="1"/>
  <c r="W18" i="1" s="1"/>
  <c r="N20" i="64"/>
  <c r="H68" i="69"/>
  <c r="I68" i="69"/>
  <c r="J68" i="69"/>
  <c r="K68" i="69"/>
  <c r="L68" i="69"/>
  <c r="M68" i="69"/>
  <c r="N68" i="69"/>
  <c r="O68" i="69"/>
  <c r="H69" i="69"/>
  <c r="I69" i="69"/>
  <c r="J69" i="69"/>
  <c r="K69" i="69"/>
  <c r="L69" i="69"/>
  <c r="M69" i="69"/>
  <c r="N69" i="69"/>
  <c r="O69" i="69"/>
  <c r="J20" i="68"/>
  <c r="K20" i="68"/>
  <c r="L20" i="68"/>
  <c r="M20" i="68"/>
  <c r="N20" i="68"/>
  <c r="D20" i="68"/>
  <c r="E20" i="68"/>
  <c r="F20" i="68"/>
  <c r="G20" i="68"/>
  <c r="H20" i="68"/>
  <c r="I20" i="68"/>
  <c r="C20" i="68"/>
  <c r="D20" i="64"/>
  <c r="D19" i="64" s="1"/>
  <c r="N18" i="1" s="1"/>
  <c r="E20" i="64"/>
  <c r="E19" i="64" s="1"/>
  <c r="O18" i="1" s="1"/>
  <c r="F20" i="64"/>
  <c r="F19" i="64" s="1"/>
  <c r="P18" i="1" s="1"/>
  <c r="G20" i="64"/>
  <c r="G19" i="64" s="1"/>
  <c r="Q18" i="1" s="1"/>
  <c r="H20" i="64"/>
  <c r="H19" i="64" s="1"/>
  <c r="R18" i="1" s="1"/>
  <c r="I20" i="64"/>
  <c r="I19" i="64" s="1"/>
  <c r="S18" i="1" s="1"/>
  <c r="J20" i="64"/>
  <c r="J19" i="64" s="1"/>
  <c r="T18" i="1" s="1"/>
  <c r="C20" i="64"/>
  <c r="C19" i="64" s="1"/>
  <c r="M18" i="1" s="1"/>
  <c r="J20" i="58"/>
  <c r="K20" i="58"/>
  <c r="L20" i="58"/>
  <c r="M20" i="58"/>
  <c r="N20" i="58"/>
  <c r="F20" i="58"/>
  <c r="G20" i="58"/>
  <c r="H20" i="58"/>
  <c r="I20" i="58"/>
  <c r="H46" i="69"/>
  <c r="G62" i="69"/>
  <c r="G46" i="69"/>
  <c r="G59" i="69"/>
  <c r="F47" i="69"/>
  <c r="F46" i="69"/>
  <c r="F43" i="69"/>
  <c r="D62" i="69"/>
  <c r="D47" i="69"/>
  <c r="E46" i="69"/>
  <c r="D59" i="69"/>
  <c r="E58" i="69"/>
  <c r="P58" i="69" s="1"/>
  <c r="K20" i="63"/>
  <c r="L20" i="63"/>
  <c r="M20" i="63"/>
  <c r="N20" i="63"/>
  <c r="K21" i="63"/>
  <c r="L21" i="63"/>
  <c r="M21" i="63"/>
  <c r="M19" i="63"/>
  <c r="W17" i="1" s="1"/>
  <c r="N21" i="63"/>
  <c r="D19" i="59"/>
  <c r="E19" i="59"/>
  <c r="O16" i="1"/>
  <c r="F19" i="59"/>
  <c r="P16" i="1"/>
  <c r="G19" i="59"/>
  <c r="Q16" i="1"/>
  <c r="H19" i="59"/>
  <c r="I19" i="59"/>
  <c r="S16" i="1"/>
  <c r="J19" i="59"/>
  <c r="T16" i="1" s="1"/>
  <c r="K19" i="59"/>
  <c r="L19" i="59"/>
  <c r="V16" i="1" s="1"/>
  <c r="M19" i="59"/>
  <c r="W16" i="1"/>
  <c r="N19" i="59"/>
  <c r="X16" i="1" s="1"/>
  <c r="C19" i="59"/>
  <c r="M16" i="1"/>
  <c r="D20" i="38"/>
  <c r="D20" i="66" s="1"/>
  <c r="E20" i="38"/>
  <c r="E20" i="66" s="1"/>
  <c r="F20" i="38"/>
  <c r="F20" i="66" s="1"/>
  <c r="G20" i="38"/>
  <c r="G20" i="66"/>
  <c r="H20" i="38"/>
  <c r="H20" i="66" s="1"/>
  <c r="I20" i="38"/>
  <c r="I20" i="66" s="1"/>
  <c r="J20" i="38"/>
  <c r="J20" i="66" s="1"/>
  <c r="K20" i="38"/>
  <c r="K20" i="66" s="1"/>
  <c r="L20" i="38"/>
  <c r="L20" i="66" s="1"/>
  <c r="M20" i="38"/>
  <c r="M20" i="66"/>
  <c r="C20" i="38"/>
  <c r="C20" i="66" s="1"/>
  <c r="K20" i="36"/>
  <c r="L20" i="36"/>
  <c r="M20" i="36"/>
  <c r="N20" i="36"/>
  <c r="K20" i="62"/>
  <c r="K21" i="58"/>
  <c r="K19" i="58" s="1"/>
  <c r="U15" i="1" s="1"/>
  <c r="K21" i="68"/>
  <c r="K19" i="68" s="1"/>
  <c r="U20" i="1" s="1"/>
  <c r="L20" i="62"/>
  <c r="L21" i="58" s="1"/>
  <c r="L21" i="68" s="1"/>
  <c r="M20" i="62"/>
  <c r="N20" i="62"/>
  <c r="N21" i="58" s="1"/>
  <c r="K21" i="62"/>
  <c r="L21" i="62"/>
  <c r="L21" i="36" s="1"/>
  <c r="M21" i="62"/>
  <c r="M21" i="36"/>
  <c r="M19" i="36" s="1"/>
  <c r="W13" i="1" s="1"/>
  <c r="N21" i="62"/>
  <c r="N21" i="36"/>
  <c r="N19" i="36" s="1"/>
  <c r="X13" i="1" s="1"/>
  <c r="K20" i="55"/>
  <c r="L20" i="55"/>
  <c r="M20" i="55"/>
  <c r="N20" i="55"/>
  <c r="K21" i="55"/>
  <c r="K21" i="60" s="1"/>
  <c r="L21" i="55"/>
  <c r="M21" i="55"/>
  <c r="M19" i="55" s="1"/>
  <c r="W8" i="1" s="1"/>
  <c r="M21" i="60"/>
  <c r="N21" i="55"/>
  <c r="N19" i="55" s="1"/>
  <c r="X8" i="1" s="1"/>
  <c r="E55" i="69"/>
  <c r="F55" i="69"/>
  <c r="E21" i="38" s="1"/>
  <c r="E19" i="38" s="1"/>
  <c r="O14" i="1" s="1"/>
  <c r="I55" i="69"/>
  <c r="H21" i="38" s="1"/>
  <c r="J55" i="69"/>
  <c r="I21" i="38" s="1"/>
  <c r="K55" i="69"/>
  <c r="J21" i="38" s="1"/>
  <c r="L55" i="69"/>
  <c r="K21" i="38" s="1"/>
  <c r="M55" i="69"/>
  <c r="N55" i="69"/>
  <c r="M21" i="38" s="1"/>
  <c r="N21" i="38"/>
  <c r="D55" i="69"/>
  <c r="C21" i="38" s="1"/>
  <c r="C19" i="38" s="1"/>
  <c r="M14" i="1" s="1"/>
  <c r="O20" i="59"/>
  <c r="O19" i="59"/>
  <c r="L16" i="1"/>
  <c r="O18" i="66"/>
  <c r="J18" i="66" s="1"/>
  <c r="O17" i="66"/>
  <c r="C17" i="66"/>
  <c r="O18" i="68"/>
  <c r="O17" i="68"/>
  <c r="O18" i="65"/>
  <c r="M18" i="65"/>
  <c r="O17" i="65"/>
  <c r="O18" i="64"/>
  <c r="G18" i="64"/>
  <c r="O17" i="64"/>
  <c r="O18" i="63"/>
  <c r="M18" i="63"/>
  <c r="O17" i="63"/>
  <c r="C17" i="63" s="1"/>
  <c r="O18" i="59"/>
  <c r="H18" i="59"/>
  <c r="O17" i="59"/>
  <c r="N17" i="59" s="1"/>
  <c r="O18" i="58"/>
  <c r="I18" i="58"/>
  <c r="O17" i="58"/>
  <c r="O18" i="38"/>
  <c r="E18" i="38"/>
  <c r="O17" i="38"/>
  <c r="O18" i="36"/>
  <c r="I18" i="36"/>
  <c r="O17" i="36"/>
  <c r="C17" i="36" s="1"/>
  <c r="O18" i="62"/>
  <c r="J18" i="62"/>
  <c r="O17" i="62"/>
  <c r="F17" i="62" s="1"/>
  <c r="O18" i="61"/>
  <c r="J18" i="61"/>
  <c r="O17" i="61"/>
  <c r="O18" i="60"/>
  <c r="C18" i="60"/>
  <c r="O17" i="60"/>
  <c r="O18" i="56"/>
  <c r="G18" i="56"/>
  <c r="O17" i="56"/>
  <c r="O18" i="55"/>
  <c r="N18" i="55"/>
  <c r="O17" i="55"/>
  <c r="G21" i="63"/>
  <c r="H21" i="63"/>
  <c r="H19" i="63" s="1"/>
  <c r="R17" i="1" s="1"/>
  <c r="I21" i="63"/>
  <c r="I19" i="63" s="1"/>
  <c r="S17" i="1" s="1"/>
  <c r="J21" i="63"/>
  <c r="J19" i="63" s="1"/>
  <c r="T17" i="1" s="1"/>
  <c r="D20" i="63"/>
  <c r="E20" i="63"/>
  <c r="F20" i="63"/>
  <c r="G20" i="63"/>
  <c r="G19" i="63" s="1"/>
  <c r="Q17" i="1" s="1"/>
  <c r="H20" i="63"/>
  <c r="I20" i="63"/>
  <c r="J20" i="63"/>
  <c r="C20" i="63"/>
  <c r="D20" i="36"/>
  <c r="E20" i="36"/>
  <c r="F20" i="36"/>
  <c r="H20" i="36"/>
  <c r="I20" i="36"/>
  <c r="J20" i="36"/>
  <c r="C20" i="36"/>
  <c r="H21" i="62"/>
  <c r="H21" i="36"/>
  <c r="H19" i="36"/>
  <c r="R13" i="1" s="1"/>
  <c r="I21" i="62"/>
  <c r="I21" i="36"/>
  <c r="J21" i="62"/>
  <c r="J21" i="36"/>
  <c r="J19" i="36" s="1"/>
  <c r="T13" i="1" s="1"/>
  <c r="C21" i="62"/>
  <c r="C21" i="36" s="1"/>
  <c r="C19" i="36" s="1"/>
  <c r="M13" i="1" s="1"/>
  <c r="D20" i="62"/>
  <c r="E20" i="62"/>
  <c r="E21" i="58"/>
  <c r="E21" i="68" s="1"/>
  <c r="E19" i="68" s="1"/>
  <c r="O20" i="1" s="1"/>
  <c r="F20" i="62"/>
  <c r="F21" i="58" s="1"/>
  <c r="G20" i="62"/>
  <c r="G21" i="58"/>
  <c r="H20" i="62"/>
  <c r="H21" i="58" s="1"/>
  <c r="I20" i="62"/>
  <c r="I19" i="62" s="1"/>
  <c r="S12" i="1" s="1"/>
  <c r="I21" i="58"/>
  <c r="J20" i="62"/>
  <c r="G69" i="69"/>
  <c r="F69" i="69"/>
  <c r="E69" i="69"/>
  <c r="D69" i="69"/>
  <c r="O63" i="69"/>
  <c r="N63" i="69"/>
  <c r="M63" i="69"/>
  <c r="L63" i="69"/>
  <c r="K63" i="69"/>
  <c r="J63" i="69"/>
  <c r="I63" i="69"/>
  <c r="H63" i="69"/>
  <c r="G63" i="69"/>
  <c r="F63" i="69"/>
  <c r="E63" i="69"/>
  <c r="D63" i="69"/>
  <c r="O62" i="69"/>
  <c r="N62" i="69"/>
  <c r="M62" i="69"/>
  <c r="L62" i="69"/>
  <c r="O61" i="69"/>
  <c r="N61" i="69"/>
  <c r="M61" i="69"/>
  <c r="L61" i="69"/>
  <c r="O60" i="69"/>
  <c r="N60" i="69"/>
  <c r="M60" i="69"/>
  <c r="L60" i="69"/>
  <c r="K60" i="69"/>
  <c r="J60" i="69"/>
  <c r="I60" i="69"/>
  <c r="H60" i="69"/>
  <c r="G60" i="69"/>
  <c r="F60" i="69"/>
  <c r="E60" i="69"/>
  <c r="D60" i="69"/>
  <c r="O59" i="69"/>
  <c r="N59" i="69"/>
  <c r="M59" i="69"/>
  <c r="L59" i="69"/>
  <c r="O58" i="69"/>
  <c r="N58" i="69"/>
  <c r="M58" i="69"/>
  <c r="L58" i="69"/>
  <c r="K58" i="69"/>
  <c r="O57" i="69"/>
  <c r="N57" i="69"/>
  <c r="M57" i="69"/>
  <c r="L57" i="69"/>
  <c r="K57" i="69"/>
  <c r="J57" i="69"/>
  <c r="I57" i="69"/>
  <c r="G57" i="69"/>
  <c r="N54" i="69"/>
  <c r="M54" i="69"/>
  <c r="L54" i="69"/>
  <c r="K54" i="69"/>
  <c r="J54" i="69"/>
  <c r="I54" i="69"/>
  <c r="D54" i="69"/>
  <c r="N53" i="69"/>
  <c r="M53" i="69"/>
  <c r="L53" i="69"/>
  <c r="K53" i="69"/>
  <c r="J53" i="69"/>
  <c r="I53" i="69"/>
  <c r="O47" i="69"/>
  <c r="N47" i="69"/>
  <c r="M47" i="69"/>
  <c r="L47" i="69"/>
  <c r="O46" i="69"/>
  <c r="N46" i="69"/>
  <c r="M46" i="69"/>
  <c r="L46" i="69"/>
  <c r="O44" i="69"/>
  <c r="N44" i="69"/>
  <c r="M44" i="69"/>
  <c r="M48" i="69" s="1"/>
  <c r="L44" i="69"/>
  <c r="O43" i="69"/>
  <c r="N43" i="69"/>
  <c r="M43" i="69"/>
  <c r="L43" i="69"/>
  <c r="L48" i="69" s="1"/>
  <c r="K43" i="69"/>
  <c r="G42" i="69"/>
  <c r="F42" i="69"/>
  <c r="E42" i="69"/>
  <c r="D42" i="69"/>
  <c r="O31" i="69"/>
  <c r="N31" i="69"/>
  <c r="M31" i="69"/>
  <c r="L31" i="69"/>
  <c r="K31" i="69"/>
  <c r="D31" i="69"/>
  <c r="O30" i="69"/>
  <c r="N30" i="69"/>
  <c r="M30" i="69"/>
  <c r="L30" i="69"/>
  <c r="K30" i="69"/>
  <c r="K66" i="69" s="1"/>
  <c r="D30" i="69"/>
  <c r="O29" i="69"/>
  <c r="N29" i="69"/>
  <c r="M29" i="69"/>
  <c r="L29" i="69"/>
  <c r="O28" i="69"/>
  <c r="O65" i="69" s="1"/>
  <c r="N28" i="69"/>
  <c r="M28" i="69"/>
  <c r="L28" i="69"/>
  <c r="L65" i="69" s="1"/>
  <c r="O27" i="69"/>
  <c r="N20" i="56" s="1"/>
  <c r="N27" i="69"/>
  <c r="N64" i="69" s="1"/>
  <c r="M27" i="69"/>
  <c r="L20" i="56" s="1"/>
  <c r="L27" i="69"/>
  <c r="K20" i="56" s="1"/>
  <c r="O26" i="69"/>
  <c r="O64" i="69" s="1"/>
  <c r="N26" i="69"/>
  <c r="M26" i="69"/>
  <c r="L26" i="69"/>
  <c r="K29" i="69"/>
  <c r="K46" i="69"/>
  <c r="K27" i="69"/>
  <c r="J46" i="69"/>
  <c r="D46" i="69"/>
  <c r="D49" i="69" s="1"/>
  <c r="K59" i="69"/>
  <c r="D28" i="69"/>
  <c r="J20" i="55"/>
  <c r="J21" i="55"/>
  <c r="J21" i="60" s="1"/>
  <c r="H42" i="69"/>
  <c r="I59" i="69"/>
  <c r="D61" i="69"/>
  <c r="H62" i="69"/>
  <c r="J43" i="69"/>
  <c r="I21" i="55"/>
  <c r="I21" i="60" s="1"/>
  <c r="F58" i="69"/>
  <c r="J58" i="69"/>
  <c r="I20" i="55"/>
  <c r="I19" i="55" s="1"/>
  <c r="S8" i="1" s="1"/>
  <c r="J59" i="69"/>
  <c r="I62" i="69"/>
  <c r="K26" i="69"/>
  <c r="K44" i="69"/>
  <c r="K48" i="69" s="1"/>
  <c r="D43" i="69"/>
  <c r="H58" i="69"/>
  <c r="D21" i="62"/>
  <c r="D21" i="36"/>
  <c r="D19" i="36" s="1"/>
  <c r="N13" i="1" s="1"/>
  <c r="J61" i="69"/>
  <c r="F62" i="69"/>
  <c r="J62" i="69"/>
  <c r="G58" i="69"/>
  <c r="K47" i="69"/>
  <c r="K62" i="69"/>
  <c r="E21" i="62"/>
  <c r="D26" i="69"/>
  <c r="D29" i="69"/>
  <c r="D44" i="69"/>
  <c r="K61" i="69"/>
  <c r="E44" i="69"/>
  <c r="I47" i="69"/>
  <c r="E53" i="69"/>
  <c r="E54" i="69"/>
  <c r="K28" i="69"/>
  <c r="J44" i="69"/>
  <c r="J47" i="69"/>
  <c r="F54" i="69"/>
  <c r="F53" i="69"/>
  <c r="F21" i="62"/>
  <c r="F21" i="36" s="1"/>
  <c r="F19" i="36" s="1"/>
  <c r="P13" i="1" s="1"/>
  <c r="I42" i="69"/>
  <c r="J42" i="69"/>
  <c r="G21" i="62"/>
  <c r="G21" i="36" s="1"/>
  <c r="G54" i="69"/>
  <c r="G53" i="69"/>
  <c r="K42" i="69"/>
  <c r="H53" i="69"/>
  <c r="L42" i="69"/>
  <c r="M42" i="69"/>
  <c r="N42" i="69"/>
  <c r="O42" i="69"/>
  <c r="N19" i="65"/>
  <c r="X19" i="1" s="1"/>
  <c r="M19" i="65"/>
  <c r="W19" i="1" s="1"/>
  <c r="L19" i="65"/>
  <c r="V19" i="1" s="1"/>
  <c r="K19" i="65"/>
  <c r="U19" i="1" s="1"/>
  <c r="J19" i="65"/>
  <c r="T19" i="1"/>
  <c r="I19" i="65"/>
  <c r="S19" i="1" s="1"/>
  <c r="H19" i="65"/>
  <c r="R19" i="1"/>
  <c r="G19" i="65"/>
  <c r="Q19" i="1" s="1"/>
  <c r="F19" i="65"/>
  <c r="P19" i="1"/>
  <c r="E19" i="65"/>
  <c r="O19" i="1" s="1"/>
  <c r="D19" i="65"/>
  <c r="N19" i="1"/>
  <c r="M19" i="1"/>
  <c r="N19" i="64"/>
  <c r="X18" i="1" s="1"/>
  <c r="F7" i="66"/>
  <c r="F7" i="65"/>
  <c r="F7" i="64"/>
  <c r="F7" i="63"/>
  <c r="C21" i="61"/>
  <c r="D21" i="61" s="1"/>
  <c r="E21" i="61" s="1"/>
  <c r="F21" i="61"/>
  <c r="G21" i="61" s="1"/>
  <c r="O20" i="61"/>
  <c r="L24" i="66"/>
  <c r="H24" i="66"/>
  <c r="D24" i="66"/>
  <c r="L24" i="68"/>
  <c r="H24" i="68"/>
  <c r="D24" i="68"/>
  <c r="L24" i="65"/>
  <c r="H24" i="65"/>
  <c r="D24" i="65"/>
  <c r="L24" i="64"/>
  <c r="H24" i="64"/>
  <c r="D24" i="64"/>
  <c r="L24" i="63"/>
  <c r="H24" i="63"/>
  <c r="D24" i="63"/>
  <c r="I11" i="68"/>
  <c r="F11" i="68"/>
  <c r="A11" i="68"/>
  <c r="G8" i="68"/>
  <c r="F7" i="68"/>
  <c r="F6" i="68"/>
  <c r="H18" i="68"/>
  <c r="F5" i="68"/>
  <c r="I11" i="66"/>
  <c r="F11" i="66"/>
  <c r="A11" i="66"/>
  <c r="I11" i="65"/>
  <c r="F11" i="65"/>
  <c r="A11" i="65"/>
  <c r="I11" i="64"/>
  <c r="F11" i="64"/>
  <c r="A11" i="64"/>
  <c r="I11" i="63"/>
  <c r="F11" i="63"/>
  <c r="A11" i="63"/>
  <c r="F6" i="66"/>
  <c r="F6" i="65"/>
  <c r="F6" i="64"/>
  <c r="F6" i="63"/>
  <c r="G8" i="66"/>
  <c r="G8" i="65"/>
  <c r="G8" i="64"/>
  <c r="G8" i="63"/>
  <c r="I17" i="66"/>
  <c r="F5" i="66"/>
  <c r="O20" i="65"/>
  <c r="O19" i="65"/>
  <c r="L19" i="1"/>
  <c r="F5" i="65"/>
  <c r="H11" i="64"/>
  <c r="F5" i="64"/>
  <c r="H17" i="63"/>
  <c r="F5" i="63"/>
  <c r="F7" i="59"/>
  <c r="F7" i="58"/>
  <c r="F7" i="38"/>
  <c r="F7" i="36"/>
  <c r="F7" i="62"/>
  <c r="F7" i="61"/>
  <c r="F7" i="60"/>
  <c r="F7" i="56"/>
  <c r="F7" i="55"/>
  <c r="F5" i="59"/>
  <c r="F5" i="58"/>
  <c r="F5" i="38"/>
  <c r="F5" i="36"/>
  <c r="F5" i="62"/>
  <c r="F5" i="61"/>
  <c r="F5" i="60"/>
  <c r="F5" i="56"/>
  <c r="F5" i="55"/>
  <c r="L24" i="62"/>
  <c r="H24" i="62"/>
  <c r="D24" i="62"/>
  <c r="I11" i="62"/>
  <c r="F11" i="62"/>
  <c r="A11" i="62"/>
  <c r="G8" i="62"/>
  <c r="F6" i="62"/>
  <c r="E18" i="62"/>
  <c r="L25" i="61"/>
  <c r="H25" i="61"/>
  <c r="D25" i="61"/>
  <c r="I11" i="61"/>
  <c r="F11" i="61"/>
  <c r="A11" i="61"/>
  <c r="G8" i="61"/>
  <c r="F6" i="61"/>
  <c r="L25" i="60"/>
  <c r="H25" i="60"/>
  <c r="D25" i="60"/>
  <c r="I11" i="60"/>
  <c r="F11" i="60"/>
  <c r="A11" i="60"/>
  <c r="G8" i="60"/>
  <c r="F6" i="60"/>
  <c r="K18" i="60"/>
  <c r="F18" i="60"/>
  <c r="L24" i="59"/>
  <c r="H24" i="59"/>
  <c r="D24" i="59"/>
  <c r="I11" i="59"/>
  <c r="F11" i="59"/>
  <c r="A11" i="59"/>
  <c r="G8" i="59"/>
  <c r="F6" i="59"/>
  <c r="U16" i="1"/>
  <c r="R16" i="1"/>
  <c r="N16" i="1"/>
  <c r="M18" i="59"/>
  <c r="L24" i="58"/>
  <c r="H24" i="58"/>
  <c r="D24" i="58"/>
  <c r="I11" i="58"/>
  <c r="F11" i="58"/>
  <c r="A11" i="58"/>
  <c r="G8" i="58"/>
  <c r="F6" i="58"/>
  <c r="L24" i="56"/>
  <c r="H24" i="56"/>
  <c r="D24" i="56"/>
  <c r="I11" i="56"/>
  <c r="F11" i="56"/>
  <c r="A11" i="56"/>
  <c r="G8" i="56"/>
  <c r="F6" i="56"/>
  <c r="L24" i="55"/>
  <c r="H24" i="55"/>
  <c r="D24" i="55"/>
  <c r="I11" i="55"/>
  <c r="F11" i="55"/>
  <c r="A11" i="55"/>
  <c r="G8" i="55"/>
  <c r="F6" i="55"/>
  <c r="I18" i="55"/>
  <c r="G8" i="38"/>
  <c r="G8" i="36"/>
  <c r="L24" i="38"/>
  <c r="H24" i="38"/>
  <c r="D24" i="38"/>
  <c r="I11" i="38"/>
  <c r="H11" i="38"/>
  <c r="F11" i="38"/>
  <c r="A11" i="38"/>
  <c r="F6" i="38"/>
  <c r="J18" i="38"/>
  <c r="L24" i="36"/>
  <c r="H24" i="36"/>
  <c r="D24" i="36"/>
  <c r="I11" i="36"/>
  <c r="F11" i="36"/>
  <c r="A11" i="36"/>
  <c r="F6" i="36"/>
  <c r="N19" i="63"/>
  <c r="X17" i="1" s="1"/>
  <c r="N19" i="62"/>
  <c r="X12" i="1" s="1"/>
  <c r="N20" i="38"/>
  <c r="N20" i="66" s="1"/>
  <c r="N17" i="38"/>
  <c r="L18" i="64"/>
  <c r="E17" i="38"/>
  <c r="N18" i="61"/>
  <c r="I17" i="38"/>
  <c r="E18" i="58"/>
  <c r="H11" i="61"/>
  <c r="I18" i="65"/>
  <c r="K17" i="38"/>
  <c r="G17" i="60"/>
  <c r="G17" i="68"/>
  <c r="M17" i="38"/>
  <c r="K17" i="62"/>
  <c r="C19" i="61"/>
  <c r="M11" i="1"/>
  <c r="F17" i="38"/>
  <c r="L18" i="36"/>
  <c r="C18" i="36"/>
  <c r="E18" i="36"/>
  <c r="E18" i="65"/>
  <c r="M18" i="36"/>
  <c r="M18" i="61"/>
  <c r="C18" i="61"/>
  <c r="L18" i="58"/>
  <c r="C18" i="58"/>
  <c r="L18" i="65"/>
  <c r="C18" i="65"/>
  <c r="H11" i="36"/>
  <c r="M18" i="58"/>
  <c r="F18" i="61"/>
  <c r="N18" i="62"/>
  <c r="C18" i="62"/>
  <c r="N18" i="38"/>
  <c r="C18" i="38"/>
  <c r="L18" i="59"/>
  <c r="C18" i="59"/>
  <c r="K18" i="64"/>
  <c r="C18" i="64"/>
  <c r="H17" i="64"/>
  <c r="K17" i="64"/>
  <c r="L18" i="63"/>
  <c r="C18" i="63"/>
  <c r="F17" i="60"/>
  <c r="H17" i="60"/>
  <c r="N18" i="56"/>
  <c r="C18" i="56"/>
  <c r="K18" i="56"/>
  <c r="M18" i="55"/>
  <c r="C18" i="55"/>
  <c r="E18" i="63"/>
  <c r="I18" i="63"/>
  <c r="N18" i="36"/>
  <c r="D18" i="56"/>
  <c r="H18" i="56"/>
  <c r="L18" i="56"/>
  <c r="H11" i="58"/>
  <c r="F18" i="58"/>
  <c r="J18" i="58"/>
  <c r="N18" i="58"/>
  <c r="G18" i="61"/>
  <c r="K18" i="61"/>
  <c r="H11" i="63"/>
  <c r="F18" i="63"/>
  <c r="J18" i="63"/>
  <c r="N18" i="63"/>
  <c r="H11" i="65"/>
  <c r="F18" i="65"/>
  <c r="J18" i="65"/>
  <c r="N18" i="65"/>
  <c r="G18" i="36"/>
  <c r="K18" i="36"/>
  <c r="E18" i="56"/>
  <c r="I18" i="56"/>
  <c r="M18" i="56"/>
  <c r="G18" i="58"/>
  <c r="K18" i="58"/>
  <c r="D18" i="61"/>
  <c r="H18" i="61"/>
  <c r="L18" i="61"/>
  <c r="G18" i="63"/>
  <c r="K18" i="63"/>
  <c r="G18" i="65"/>
  <c r="K18" i="65"/>
  <c r="O66" i="69"/>
  <c r="F20" i="55"/>
  <c r="F18" i="36"/>
  <c r="J18" i="36"/>
  <c r="D18" i="36"/>
  <c r="H18" i="36"/>
  <c r="H11" i="56"/>
  <c r="F18" i="56"/>
  <c r="J18" i="56"/>
  <c r="D18" i="58"/>
  <c r="H18" i="58"/>
  <c r="E18" i="61"/>
  <c r="I18" i="61"/>
  <c r="D18" i="63"/>
  <c r="H18" i="63"/>
  <c r="D18" i="65"/>
  <c r="H18" i="65"/>
  <c r="F18" i="38"/>
  <c r="K18" i="38"/>
  <c r="E18" i="55"/>
  <c r="J18" i="55"/>
  <c r="D18" i="59"/>
  <c r="I18" i="59"/>
  <c r="H11" i="60"/>
  <c r="G18" i="60"/>
  <c r="L18" i="60"/>
  <c r="F18" i="62"/>
  <c r="K18" i="62"/>
  <c r="H18" i="64"/>
  <c r="N18" i="64"/>
  <c r="I18" i="68"/>
  <c r="G18" i="38"/>
  <c r="M18" i="38"/>
  <c r="F18" i="55"/>
  <c r="K18" i="55"/>
  <c r="E18" i="59"/>
  <c r="K18" i="59"/>
  <c r="H18" i="60"/>
  <c r="N18" i="60"/>
  <c r="H11" i="62"/>
  <c r="G18" i="62"/>
  <c r="M18" i="62"/>
  <c r="D18" i="64"/>
  <c r="J18" i="64"/>
  <c r="E18" i="68"/>
  <c r="I18" i="38"/>
  <c r="H11" i="55"/>
  <c r="G18" i="55"/>
  <c r="H11" i="59"/>
  <c r="G18" i="59"/>
  <c r="D18" i="60"/>
  <c r="J18" i="60"/>
  <c r="I18" i="62"/>
  <c r="F18" i="64"/>
  <c r="E62" i="69"/>
  <c r="F59" i="69"/>
  <c r="G61" i="69"/>
  <c r="H43" i="69"/>
  <c r="G20" i="55"/>
  <c r="H20" i="55"/>
  <c r="L17" i="66"/>
  <c r="M17" i="66"/>
  <c r="I44" i="69"/>
  <c r="D27" i="69"/>
  <c r="F61" i="69"/>
  <c r="I58" i="69"/>
  <c r="H17" i="55"/>
  <c r="M17" i="60"/>
  <c r="I17" i="60"/>
  <c r="E17" i="60"/>
  <c r="M17" i="64"/>
  <c r="I17" i="64"/>
  <c r="E17" i="64"/>
  <c r="E61" i="69"/>
  <c r="L17" i="56"/>
  <c r="M17" i="56"/>
  <c r="L17" i="36"/>
  <c r="E17" i="36"/>
  <c r="G17" i="58"/>
  <c r="H59" i="69"/>
  <c r="I43" i="69"/>
  <c r="M17" i="61"/>
  <c r="L17" i="63"/>
  <c r="H61" i="69"/>
  <c r="H47" i="69"/>
  <c r="I17" i="36"/>
  <c r="M17" i="36"/>
  <c r="E17" i="56"/>
  <c r="F19" i="62"/>
  <c r="P12" i="1" s="1"/>
  <c r="D17" i="63"/>
  <c r="D17" i="65"/>
  <c r="E17" i="66"/>
  <c r="D58" i="69"/>
  <c r="L18" i="55"/>
  <c r="H18" i="55"/>
  <c r="D18" i="55"/>
  <c r="M18" i="60"/>
  <c r="I18" i="60"/>
  <c r="E18" i="60"/>
  <c r="L18" i="62"/>
  <c r="H18" i="62"/>
  <c r="D18" i="62"/>
  <c r="L18" i="38"/>
  <c r="H18" i="38"/>
  <c r="D18" i="38"/>
  <c r="N18" i="59"/>
  <c r="J18" i="59"/>
  <c r="F18" i="59"/>
  <c r="M18" i="64"/>
  <c r="I18" i="64"/>
  <c r="E18" i="64"/>
  <c r="N18" i="68"/>
  <c r="E47" i="69"/>
  <c r="G44" i="69"/>
  <c r="F17" i="36"/>
  <c r="J17" i="36"/>
  <c r="N17" i="36"/>
  <c r="F17" i="56"/>
  <c r="J17" i="56"/>
  <c r="N17" i="56"/>
  <c r="H17" i="58"/>
  <c r="F17" i="61"/>
  <c r="E17" i="63"/>
  <c r="I17" i="63"/>
  <c r="M17" i="63"/>
  <c r="M17" i="65"/>
  <c r="F17" i="66"/>
  <c r="J17" i="66"/>
  <c r="N17" i="66"/>
  <c r="F44" i="69"/>
  <c r="G47" i="69"/>
  <c r="H44" i="69"/>
  <c r="H48" i="69" s="1"/>
  <c r="E43" i="69"/>
  <c r="G21" i="55"/>
  <c r="G17" i="36"/>
  <c r="K17" i="36"/>
  <c r="G17" i="56"/>
  <c r="K17" i="56"/>
  <c r="M17" i="58"/>
  <c r="K17" i="61"/>
  <c r="F17" i="63"/>
  <c r="J17" i="63"/>
  <c r="N17" i="63"/>
  <c r="G17" i="66"/>
  <c r="K17" i="66"/>
  <c r="D19" i="61"/>
  <c r="N11" i="1" s="1"/>
  <c r="E59" i="69"/>
  <c r="F21" i="55"/>
  <c r="F21" i="60" s="1"/>
  <c r="I61" i="69"/>
  <c r="D17" i="36"/>
  <c r="H17" i="36"/>
  <c r="D17" i="56"/>
  <c r="H17" i="56"/>
  <c r="F17" i="58"/>
  <c r="J17" i="58"/>
  <c r="G17" i="63"/>
  <c r="K17" i="63"/>
  <c r="K17" i="65"/>
  <c r="D17" i="66"/>
  <c r="H17" i="66"/>
  <c r="G43" i="69"/>
  <c r="H21" i="55"/>
  <c r="H21" i="60" s="1"/>
  <c r="I46" i="69"/>
  <c r="H21" i="61"/>
  <c r="I21" i="61"/>
  <c r="J21" i="61" s="1"/>
  <c r="K21" i="61" s="1"/>
  <c r="L21" i="61" s="1"/>
  <c r="M21" i="61" s="1"/>
  <c r="N21" i="61" s="1"/>
  <c r="E19" i="61"/>
  <c r="O11" i="1" s="1"/>
  <c r="G19" i="62"/>
  <c r="Q12" i="1" s="1"/>
  <c r="H64" i="69"/>
  <c r="H65" i="69"/>
  <c r="F19" i="61"/>
  <c r="P11" i="1"/>
  <c r="G19" i="61"/>
  <c r="Q11" i="1"/>
  <c r="H19" i="61"/>
  <c r="R11" i="1"/>
  <c r="I19" i="61"/>
  <c r="S11" i="1"/>
  <c r="J19" i="61"/>
  <c r="T11" i="1"/>
  <c r="K19" i="61"/>
  <c r="U11" i="1"/>
  <c r="L19" i="61"/>
  <c r="V11" i="1"/>
  <c r="M19" i="61"/>
  <c r="W11" i="1"/>
  <c r="N19" i="61"/>
  <c r="X11" i="1"/>
  <c r="O22" i="61"/>
  <c r="O19" i="61"/>
  <c r="L11" i="1" s="1"/>
  <c r="G66" i="69" l="1"/>
  <c r="G65" i="69"/>
  <c r="F21" i="56"/>
  <c r="E21" i="56"/>
  <c r="F64" i="69"/>
  <c r="E48" i="69"/>
  <c r="D65" i="69"/>
  <c r="N32" i="69"/>
  <c r="N48" i="69"/>
  <c r="M21" i="66"/>
  <c r="M19" i="66" s="1"/>
  <c r="W21" i="1" s="1"/>
  <c r="M19" i="38"/>
  <c r="W14" i="1" s="1"/>
  <c r="K33" i="69"/>
  <c r="D32" i="69"/>
  <c r="J21" i="56"/>
  <c r="J49" i="69"/>
  <c r="G49" i="69"/>
  <c r="D64" i="69"/>
  <c r="L33" i="69"/>
  <c r="D19" i="55"/>
  <c r="N8" i="1" s="1"/>
  <c r="D21" i="60"/>
  <c r="D22" i="60" s="1"/>
  <c r="H19" i="38"/>
  <c r="R14" i="1" s="1"/>
  <c r="H21" i="66"/>
  <c r="H19" i="66" s="1"/>
  <c r="R21" i="1" s="1"/>
  <c r="J21" i="66"/>
  <c r="J19" i="66" s="1"/>
  <c r="T21" i="1" s="1"/>
  <c r="J19" i="38"/>
  <c r="T14" i="1" s="1"/>
  <c r="F19" i="58"/>
  <c r="P15" i="1" s="1"/>
  <c r="F21" i="68"/>
  <c r="F19" i="68" s="1"/>
  <c r="P20" i="1" s="1"/>
  <c r="G21" i="68"/>
  <c r="G19" i="58"/>
  <c r="Q15" i="1" s="1"/>
  <c r="H21" i="68"/>
  <c r="H19" i="58"/>
  <c r="R15" i="1" s="1"/>
  <c r="I21" i="68"/>
  <c r="I19" i="68" s="1"/>
  <c r="S20" i="1" s="1"/>
  <c r="I19" i="58"/>
  <c r="S15" i="1" s="1"/>
  <c r="E19" i="58"/>
  <c r="O15" i="1" s="1"/>
  <c r="F65" i="69"/>
  <c r="G32" i="69"/>
  <c r="G21" i="56"/>
  <c r="H37" i="69"/>
  <c r="G20" i="60" s="1"/>
  <c r="G19" i="68"/>
  <c r="Q20" i="1" s="1"/>
  <c r="P54" i="69"/>
  <c r="M66" i="69"/>
  <c r="M32" i="69"/>
  <c r="L64" i="69"/>
  <c r="I19" i="36"/>
  <c r="S13" i="1" s="1"/>
  <c r="L66" i="69"/>
  <c r="M65" i="69"/>
  <c r="J19" i="55"/>
  <c r="T8" i="1" s="1"/>
  <c r="J48" i="69"/>
  <c r="I48" i="69"/>
  <c r="I49" i="69"/>
  <c r="L21" i="60"/>
  <c r="L19" i="55"/>
  <c r="V8" i="1" s="1"/>
  <c r="J20" i="56"/>
  <c r="K64" i="69"/>
  <c r="E21" i="36"/>
  <c r="E19" i="36" s="1"/>
  <c r="O13" i="1" s="1"/>
  <c r="E19" i="62"/>
  <c r="O12" i="1" s="1"/>
  <c r="L21" i="38"/>
  <c r="P55" i="69"/>
  <c r="O49" i="69"/>
  <c r="O48" i="69"/>
  <c r="O32" i="69"/>
  <c r="N21" i="56"/>
  <c r="N19" i="56" s="1"/>
  <c r="X9" i="1" s="1"/>
  <c r="M20" i="56"/>
  <c r="N19" i="38"/>
  <c r="X14" i="1" s="1"/>
  <c r="N21" i="66"/>
  <c r="N19" i="66" s="1"/>
  <c r="X21" i="1" s="1"/>
  <c r="N19" i="58"/>
  <c r="X15" i="1" s="1"/>
  <c r="N21" i="68"/>
  <c r="N19" i="68" s="1"/>
  <c r="X20" i="1" s="1"/>
  <c r="M21" i="56"/>
  <c r="M19" i="56" s="1"/>
  <c r="W9" i="1" s="1"/>
  <c r="M64" i="69"/>
  <c r="M33" i="69"/>
  <c r="M37" i="69" s="1"/>
  <c r="L20" i="60" s="1"/>
  <c r="L21" i="56"/>
  <c r="L19" i="56" s="1"/>
  <c r="V9" i="1" s="1"/>
  <c r="L49" i="69"/>
  <c r="L32" i="69"/>
  <c r="K21" i="56"/>
  <c r="K19" i="56" s="1"/>
  <c r="U9" i="1" s="1"/>
  <c r="K19" i="55"/>
  <c r="U8" i="1" s="1"/>
  <c r="L19" i="68"/>
  <c r="V20" i="1" s="1"/>
  <c r="K19" i="63"/>
  <c r="U17" i="1" s="1"/>
  <c r="L19" i="63"/>
  <c r="V17" i="1" s="1"/>
  <c r="L19" i="36"/>
  <c r="V13" i="1" s="1"/>
  <c r="L19" i="62"/>
  <c r="V12" i="1" s="1"/>
  <c r="K21" i="66"/>
  <c r="K19" i="66" s="1"/>
  <c r="U21" i="1" s="1"/>
  <c r="K19" i="38"/>
  <c r="U14" i="1" s="1"/>
  <c r="K49" i="69"/>
  <c r="J19" i="56"/>
  <c r="T9" i="1" s="1"/>
  <c r="J66" i="69"/>
  <c r="I20" i="56"/>
  <c r="J33" i="69"/>
  <c r="I21" i="56"/>
  <c r="I64" i="69"/>
  <c r="I21" i="66"/>
  <c r="I19" i="66" s="1"/>
  <c r="S21" i="1" s="1"/>
  <c r="I19" i="38"/>
  <c r="S14" i="1" s="1"/>
  <c r="G21" i="38"/>
  <c r="O20" i="38"/>
  <c r="D21" i="38"/>
  <c r="O21" i="38" s="1"/>
  <c r="O19" i="38" s="1"/>
  <c r="L14" i="1" s="1"/>
  <c r="H19" i="68"/>
  <c r="R20" i="1" s="1"/>
  <c r="H21" i="56"/>
  <c r="H19" i="56" s="1"/>
  <c r="R9" i="1" s="1"/>
  <c r="I65" i="69"/>
  <c r="G19" i="55"/>
  <c r="Q8" i="1" s="1"/>
  <c r="O20" i="55"/>
  <c r="H49" i="69"/>
  <c r="H67" i="69"/>
  <c r="F20" i="56"/>
  <c r="G48" i="69"/>
  <c r="F19" i="55"/>
  <c r="P8" i="1" s="1"/>
  <c r="F49" i="69"/>
  <c r="E20" i="56"/>
  <c r="F48" i="69"/>
  <c r="E19" i="55"/>
  <c r="O8" i="1" s="1"/>
  <c r="F32" i="69"/>
  <c r="F66" i="69"/>
  <c r="E49" i="69"/>
  <c r="E32" i="69"/>
  <c r="D21" i="56"/>
  <c r="E65" i="69"/>
  <c r="D33" i="69"/>
  <c r="C20" i="56"/>
  <c r="D48" i="69"/>
  <c r="C19" i="55"/>
  <c r="M8" i="1" s="1"/>
  <c r="D66" i="69"/>
  <c r="C21" i="56"/>
  <c r="O21" i="55"/>
  <c r="F19" i="38"/>
  <c r="P14" i="1" s="1"/>
  <c r="F21" i="66"/>
  <c r="F19" i="66" s="1"/>
  <c r="P21" i="1" s="1"/>
  <c r="J17" i="55"/>
  <c r="C17" i="55"/>
  <c r="M17" i="55"/>
  <c r="F17" i="55"/>
  <c r="I17" i="55"/>
  <c r="N17" i="55"/>
  <c r="K17" i="55"/>
  <c r="L17" i="55"/>
  <c r="C17" i="68"/>
  <c r="M17" i="68"/>
  <c r="I17" i="68"/>
  <c r="E17" i="68"/>
  <c r="N17" i="68"/>
  <c r="D17" i="68"/>
  <c r="J17" i="68"/>
  <c r="P10" i="69"/>
  <c r="C21" i="63"/>
  <c r="D68" i="69"/>
  <c r="D57" i="69"/>
  <c r="E21" i="63"/>
  <c r="E19" i="63" s="1"/>
  <c r="O17" i="1" s="1"/>
  <c r="F57" i="69"/>
  <c r="G20" i="36"/>
  <c r="H54" i="69"/>
  <c r="O21" i="61"/>
  <c r="F17" i="68"/>
  <c r="H17" i="68"/>
  <c r="F68" i="69"/>
  <c r="C17" i="61"/>
  <c r="L17" i="61"/>
  <c r="I17" i="61"/>
  <c r="E17" i="61"/>
  <c r="G17" i="61"/>
  <c r="D17" i="61"/>
  <c r="C17" i="58"/>
  <c r="K17" i="58"/>
  <c r="N17" i="58"/>
  <c r="L17" i="58"/>
  <c r="C17" i="65"/>
  <c r="H17" i="65"/>
  <c r="L17" i="65"/>
  <c r="I17" i="65"/>
  <c r="N17" i="65"/>
  <c r="G17" i="65"/>
  <c r="O20" i="66"/>
  <c r="E33" i="69"/>
  <c r="D20" i="56"/>
  <c r="F33" i="69"/>
  <c r="C20" i="62"/>
  <c r="D53" i="69"/>
  <c r="P53" i="69" s="1"/>
  <c r="O20" i="58"/>
  <c r="G21" i="60"/>
  <c r="J17" i="65"/>
  <c r="I17" i="58"/>
  <c r="E17" i="65"/>
  <c r="N17" i="61"/>
  <c r="D17" i="58"/>
  <c r="H19" i="62"/>
  <c r="R12" i="1" s="1"/>
  <c r="K17" i="68"/>
  <c r="E17" i="55"/>
  <c r="K32" i="69"/>
  <c r="K65" i="69"/>
  <c r="J21" i="58"/>
  <c r="J19" i="62"/>
  <c r="T12" i="1" s="1"/>
  <c r="O20" i="63"/>
  <c r="O20" i="64"/>
  <c r="O19" i="64" s="1"/>
  <c r="L18" i="1" s="1"/>
  <c r="O20" i="68"/>
  <c r="I33" i="69"/>
  <c r="C17" i="62"/>
  <c r="G17" i="62"/>
  <c r="J17" i="62"/>
  <c r="M17" i="62"/>
  <c r="H17" i="62"/>
  <c r="E17" i="62"/>
  <c r="I17" i="62"/>
  <c r="D17" i="62"/>
  <c r="C17" i="59"/>
  <c r="H17" i="59"/>
  <c r="I17" i="59"/>
  <c r="L17" i="59"/>
  <c r="M17" i="59"/>
  <c r="E17" i="59"/>
  <c r="G17" i="59"/>
  <c r="F17" i="59"/>
  <c r="D17" i="59"/>
  <c r="N18" i="66"/>
  <c r="G18" i="66"/>
  <c r="L18" i="66"/>
  <c r="M18" i="66"/>
  <c r="F18" i="66"/>
  <c r="K18" i="66"/>
  <c r="D18" i="66"/>
  <c r="E18" i="66"/>
  <c r="H18" i="66"/>
  <c r="I18" i="66"/>
  <c r="K21" i="36"/>
  <c r="K19" i="62"/>
  <c r="U12" i="1" s="1"/>
  <c r="E68" i="69"/>
  <c r="E57" i="69"/>
  <c r="D21" i="63"/>
  <c r="D19" i="63" s="1"/>
  <c r="N17" i="1" s="1"/>
  <c r="E21" i="66"/>
  <c r="E19" i="66" s="1"/>
  <c r="O21" i="1" s="1"/>
  <c r="C21" i="66"/>
  <c r="L19" i="58"/>
  <c r="V15" i="1" s="1"/>
  <c r="J17" i="59"/>
  <c r="K17" i="59"/>
  <c r="L18" i="68"/>
  <c r="C18" i="68"/>
  <c r="K18" i="68"/>
  <c r="H11" i="68"/>
  <c r="M18" i="68"/>
  <c r="D18" i="68"/>
  <c r="G18" i="68"/>
  <c r="J18" i="68"/>
  <c r="F21" i="63"/>
  <c r="F19" i="63" s="1"/>
  <c r="P17" i="1" s="1"/>
  <c r="G68" i="69"/>
  <c r="G64" i="69"/>
  <c r="G20" i="56"/>
  <c r="G19" i="56" s="1"/>
  <c r="Q9" i="1" s="1"/>
  <c r="H19" i="55"/>
  <c r="R8" i="1" s="1"/>
  <c r="H17" i="61"/>
  <c r="F17" i="65"/>
  <c r="O21" i="62"/>
  <c r="E17" i="58"/>
  <c r="J17" i="61"/>
  <c r="F18" i="68"/>
  <c r="L17" i="62"/>
  <c r="D17" i="55"/>
  <c r="H11" i="66"/>
  <c r="G17" i="55"/>
  <c r="C18" i="66"/>
  <c r="N17" i="62"/>
  <c r="L17" i="68"/>
  <c r="D19" i="62"/>
  <c r="N12" i="1" s="1"/>
  <c r="D21" i="58"/>
  <c r="N65" i="69"/>
  <c r="N33" i="69"/>
  <c r="N66" i="69"/>
  <c r="M49" i="69"/>
  <c r="C17" i="60"/>
  <c r="L17" i="60"/>
  <c r="K17" i="60"/>
  <c r="J17" i="60"/>
  <c r="D17" i="60"/>
  <c r="N17" i="60"/>
  <c r="J17" i="38"/>
  <c r="D17" i="38"/>
  <c r="L17" i="38"/>
  <c r="G17" i="38"/>
  <c r="H17" i="38"/>
  <c r="C17" i="38"/>
  <c r="C17" i="64"/>
  <c r="D17" i="64"/>
  <c r="J17" i="64"/>
  <c r="N17" i="64"/>
  <c r="G17" i="64"/>
  <c r="L17" i="64"/>
  <c r="F17" i="64"/>
  <c r="N21" i="60"/>
  <c r="J32" i="69"/>
  <c r="G33" i="69"/>
  <c r="O33" i="69"/>
  <c r="N49" i="69"/>
  <c r="C17" i="56"/>
  <c r="I17" i="56"/>
  <c r="M21" i="58"/>
  <c r="M19" i="62"/>
  <c r="W12" i="1" s="1"/>
  <c r="F19" i="56" l="1"/>
  <c r="P9" i="1" s="1"/>
  <c r="G67" i="69"/>
  <c r="E19" i="56"/>
  <c r="O9" i="1" s="1"/>
  <c r="D37" i="69"/>
  <c r="C20" i="60" s="1"/>
  <c r="C19" i="60" s="1"/>
  <c r="M10" i="1" s="1"/>
  <c r="D67" i="69"/>
  <c r="P57" i="69"/>
  <c r="E67" i="69"/>
  <c r="L21" i="66"/>
  <c r="L19" i="66" s="1"/>
  <c r="V21" i="1" s="1"/>
  <c r="L19" i="38"/>
  <c r="V14" i="1" s="1"/>
  <c r="G19" i="36"/>
  <c r="Q13" i="1" s="1"/>
  <c r="O20" i="36"/>
  <c r="K19" i="36"/>
  <c r="U13" i="1" s="1"/>
  <c r="O21" i="36"/>
  <c r="O21" i="60"/>
  <c r="M67" i="69"/>
  <c r="L67" i="69"/>
  <c r="L37" i="69"/>
  <c r="K20" i="60" s="1"/>
  <c r="J37" i="69"/>
  <c r="I20" i="60" s="1"/>
  <c r="I19" i="56"/>
  <c r="S9" i="1" s="1"/>
  <c r="O21" i="56"/>
  <c r="J67" i="69"/>
  <c r="G19" i="38"/>
  <c r="Q14" i="1" s="1"/>
  <c r="G21" i="66"/>
  <c r="G19" i="66" s="1"/>
  <c r="Q21" i="1" s="1"/>
  <c r="D19" i="38"/>
  <c r="N14" i="1" s="1"/>
  <c r="D21" i="66"/>
  <c r="D19" i="66" s="1"/>
  <c r="N21" i="1" s="1"/>
  <c r="O19" i="55"/>
  <c r="L8" i="1" s="1"/>
  <c r="G37" i="69"/>
  <c r="F20" i="60" s="1"/>
  <c r="D19" i="56"/>
  <c r="N9" i="1" s="1"/>
  <c r="O20" i="56"/>
  <c r="C19" i="56"/>
  <c r="M9" i="1" s="1"/>
  <c r="E22" i="60"/>
  <c r="O37" i="69"/>
  <c r="N20" i="60" s="1"/>
  <c r="O67" i="69"/>
  <c r="K67" i="69"/>
  <c r="K37" i="69"/>
  <c r="J20" i="60" s="1"/>
  <c r="O21" i="66"/>
  <c r="O19" i="66" s="1"/>
  <c r="L21" i="1" s="1"/>
  <c r="C19" i="66"/>
  <c r="M21" i="1" s="1"/>
  <c r="C19" i="63"/>
  <c r="M17" i="1" s="1"/>
  <c r="O21" i="63"/>
  <c r="O19" i="63" s="1"/>
  <c r="L17" i="1" s="1"/>
  <c r="E37" i="69"/>
  <c r="D20" i="60" s="1"/>
  <c r="D19" i="60" s="1"/>
  <c r="N10" i="1" s="1"/>
  <c r="D19" i="58"/>
  <c r="N15" i="1" s="1"/>
  <c r="D21" i="68"/>
  <c r="D19" i="68" s="1"/>
  <c r="N20" i="1" s="1"/>
  <c r="M19" i="58"/>
  <c r="W15" i="1" s="1"/>
  <c r="M21" i="68"/>
  <c r="M19" i="68" s="1"/>
  <c r="W20" i="1" s="1"/>
  <c r="I37" i="69"/>
  <c r="H20" i="60" s="1"/>
  <c r="I67" i="69"/>
  <c r="N37" i="69"/>
  <c r="M20" i="60" s="1"/>
  <c r="N67" i="69"/>
  <c r="C21" i="58"/>
  <c r="C19" i="62"/>
  <c r="M12" i="1" s="1"/>
  <c r="O20" i="62"/>
  <c r="O19" i="62" s="1"/>
  <c r="L12" i="1" s="1"/>
  <c r="J21" i="68"/>
  <c r="J19" i="68" s="1"/>
  <c r="T20" i="1" s="1"/>
  <c r="J19" i="58"/>
  <c r="T15" i="1" s="1"/>
  <c r="F67" i="69"/>
  <c r="F37" i="69"/>
  <c r="E20" i="60" s="1"/>
  <c r="O19" i="36" l="1"/>
  <c r="L13" i="1" s="1"/>
  <c r="O19" i="56"/>
  <c r="L9" i="1" s="1"/>
  <c r="O20" i="60"/>
  <c r="E19" i="60"/>
  <c r="O10" i="1" s="1"/>
  <c r="F22" i="60"/>
  <c r="C21" i="68"/>
  <c r="C19" i="58"/>
  <c r="M15" i="1" s="1"/>
  <c r="O21" i="58"/>
  <c r="O19" i="58" s="1"/>
  <c r="L15" i="1" s="1"/>
  <c r="G22" i="60" l="1"/>
  <c r="F19" i="60"/>
  <c r="P10" i="1" s="1"/>
  <c r="C19" i="68"/>
  <c r="M20" i="1" s="1"/>
  <c r="O21" i="68"/>
  <c r="O19" i="68" s="1"/>
  <c r="L20" i="1" s="1"/>
  <c r="G19" i="60" l="1"/>
  <c r="Q10" i="1" s="1"/>
  <c r="H22" i="60"/>
  <c r="H19" i="60" l="1"/>
  <c r="R10" i="1" s="1"/>
  <c r="I22" i="60"/>
  <c r="J22" i="60" l="1"/>
  <c r="I19" i="60"/>
  <c r="S10" i="1" s="1"/>
  <c r="K22" i="60" l="1"/>
  <c r="J19" i="60"/>
  <c r="T10" i="1" s="1"/>
  <c r="K19" i="60" l="1"/>
  <c r="U10" i="1" s="1"/>
  <c r="L22" i="60"/>
  <c r="M22" i="60" l="1"/>
  <c r="L19" i="60"/>
  <c r="V10" i="1" s="1"/>
  <c r="N22" i="60" l="1"/>
  <c r="M19" i="60"/>
  <c r="W10" i="1" s="1"/>
  <c r="N19" i="60" l="1"/>
  <c r="X10" i="1" s="1"/>
  <c r="O22" i="60"/>
  <c r="O19" i="60" s="1"/>
  <c r="L1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WILSON</author>
  </authors>
  <commentList>
    <comment ref="J6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
Recomendable dejar como línea base el resultado final del indicador en el año inmediatamente anterior</t>
        </r>
      </text>
    </comment>
    <comment ref="K6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
Importante aquí establecer para cada indicador la meta final deseada de forma razonable, que se proyecta al cierre de la presente vigencia</t>
        </r>
      </text>
    </comment>
  </commentList>
</comments>
</file>

<file path=xl/sharedStrings.xml><?xml version="1.0" encoding="utf-8"?>
<sst xmlns="http://schemas.openxmlformats.org/spreadsheetml/2006/main" count="1239" uniqueCount="275">
  <si>
    <t>PROCESO</t>
  </si>
  <si>
    <t>NOMBRE DEL INDICADOR</t>
  </si>
  <si>
    <t>OBJETIVO DEL INDICADOR</t>
  </si>
  <si>
    <t xml:space="preserve"> </t>
  </si>
  <si>
    <t>Mensual</t>
  </si>
  <si>
    <t>FORMULA DEL INDICADOR</t>
  </si>
  <si>
    <t>INTERPRETACIÓN SITUACIÓN</t>
  </si>
  <si>
    <t>OPTIMA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</si>
  <si>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</si>
  <si>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</si>
  <si>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</si>
  <si>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</si>
  <si>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</si>
  <si>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</si>
  <si>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</si>
  <si>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</si>
  <si>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</si>
  <si>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</si>
  <si>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</si>
  <si>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</si>
  <si>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r>
      <rPr>
        <sz val="10"/>
        <rFont val="Tahoma"/>
        <family val="2"/>
      </rPr>
      <t xml:space="preserve">FORMATO: </t>
    </r>
    <r>
      <rPr>
        <b/>
        <sz val="10"/>
        <rFont val="Tahoma"/>
        <family val="2"/>
      </rPr>
      <t>MATRIZ DE REGISTRO Y MEDICIÓN DE INDICADORES</t>
    </r>
  </si>
  <si>
    <t>CÓDIGO DEL INDICADOR</t>
  </si>
  <si>
    <t>Objetivo</t>
  </si>
  <si>
    <t>Unidad de medida</t>
  </si>
  <si>
    <t>Formula</t>
  </si>
  <si>
    <t>Meta</t>
  </si>
  <si>
    <t>Frecuencia</t>
  </si>
  <si>
    <t>Fuente de Información</t>
  </si>
  <si>
    <t>Responsable</t>
  </si>
  <si>
    <t>Por obtener Datos</t>
  </si>
  <si>
    <t>Por Análizar Datos</t>
  </si>
  <si>
    <t>MEDICIÓN DE DATOS:</t>
  </si>
  <si>
    <t>MES</t>
  </si>
  <si>
    <t>ACUM</t>
  </si>
  <si>
    <t>RANGOS DE EVALUACIÓN</t>
  </si>
  <si>
    <t>%</t>
  </si>
  <si>
    <t>ANÁLISIS GRÁFICO (Tendencia del indicador)</t>
  </si>
  <si>
    <t>VARIABLES</t>
  </si>
  <si>
    <t>METODOLOGIA PARA OBTENER LOS DATOS:</t>
  </si>
  <si>
    <t>LINEA BASE</t>
  </si>
  <si>
    <t>PERIODICIDAD REPORTE</t>
  </si>
  <si>
    <t>IN01</t>
  </si>
  <si>
    <t>IN02</t>
  </si>
  <si>
    <t>IN03</t>
  </si>
  <si>
    <t>IN04</t>
  </si>
  <si>
    <t>IN05</t>
  </si>
  <si>
    <t>IN06</t>
  </si>
  <si>
    <t>IN07</t>
  </si>
  <si>
    <t>IN08</t>
  </si>
  <si>
    <t>IN09</t>
  </si>
  <si>
    <t>SET INDICADORES GESTIÓN</t>
  </si>
  <si>
    <t xml:space="preserve">PROCESO: </t>
  </si>
  <si>
    <t>Anual</t>
  </si>
  <si>
    <t>Trimestral</t>
  </si>
  <si>
    <t>Acum.</t>
  </si>
  <si>
    <t>TIPO DE INDICADOR</t>
  </si>
  <si>
    <t>Eficacia</t>
  </si>
  <si>
    <t>Efectividad</t>
  </si>
  <si>
    <r>
      <rPr>
        <b/>
        <sz val="9"/>
        <rFont val="Tahoma"/>
        <family val="2"/>
      </rPr>
      <t>ANÁLISIS DE MEDICIÓN</t>
    </r>
    <r>
      <rPr>
        <sz val="9"/>
        <rFont val="Tahoma"/>
        <family val="2"/>
      </rPr>
      <t xml:space="preserve"> (Cumplimiento de metas, comportamiento histórico, tendencias, causas):</t>
    </r>
  </si>
  <si>
    <r>
      <rPr>
        <b/>
        <sz val="9"/>
        <rFont val="Tahoma"/>
        <family val="2"/>
      </rPr>
      <t>ACCIONES DE MEJORAMIENTO REQUERIDAS</t>
    </r>
    <r>
      <rPr>
        <sz val="9"/>
        <rFont val="Tahoma"/>
        <family val="2"/>
      </rPr>
      <t xml:space="preserve"> (Acciones a tomar cuando se evidencie el incumplimiento de las metas propuestas):</t>
    </r>
  </si>
  <si>
    <t>Fecha</t>
  </si>
  <si>
    <t>ACEPTABLE</t>
  </si>
  <si>
    <t>DEFICIENTE</t>
  </si>
  <si>
    <t>Bimensual</t>
  </si>
  <si>
    <t>Cuatrimestral</t>
  </si>
  <si>
    <t>Semestral</t>
  </si>
  <si>
    <t>TIPO INDICADOR</t>
  </si>
  <si>
    <t>GESTIÓN DE PROYECTOS</t>
  </si>
  <si>
    <t>GESTIÓN DE PORTAFOLIO</t>
  </si>
  <si>
    <t>GESTIÓN DE OPORTUNIDADES</t>
  </si>
  <si>
    <t>GESTIÓN DE BIENES Y SERVICIOS</t>
  </si>
  <si>
    <t>GESTIÓN JURÍDICA - CONTRATACIÓN</t>
  </si>
  <si>
    <t>TECNOLOGIAS DE LA INFORMACIÓN Y LA COMUNICACIÓN - TIC'S</t>
  </si>
  <si>
    <t>MEJORAMIENTO CONTINUO</t>
  </si>
  <si>
    <t>GESTIÓN DE RECURSOS HUMANOS</t>
  </si>
  <si>
    <t>GESTIÓN DEL CONOCIMIENTO</t>
  </si>
  <si>
    <t>GESTIÓN FINANCIERA</t>
  </si>
  <si>
    <t>CONTROL INTERNO</t>
  </si>
  <si>
    <t>DIRECCIONAMIENTO ESTRATÉGICO</t>
  </si>
  <si>
    <t xml:space="preserve">Eficiencia </t>
  </si>
  <si>
    <t>GRUPO DE GESTIÓN DE PROYECTOS</t>
  </si>
  <si>
    <t>GRUPO DE GESTIÓN DE PORTAFOLIO</t>
  </si>
  <si>
    <t>GRUPO DE GESTIÓN DE OPORTUNIDADES</t>
  </si>
  <si>
    <t>GRUPO DE GESTIÓN DE BIENES Y SERVICIOS</t>
  </si>
  <si>
    <t>GRUPO DE GESTIÓN JURÍDICA - CONTRATACIÓN</t>
  </si>
  <si>
    <t>GRUPO DE TECNOLOGIAS DE LA INFORMACIÓN Y LA COMUNICACIÓN - TIC'S</t>
  </si>
  <si>
    <t>GRUPO DE MEJORAMIENTO CONTINUO</t>
  </si>
  <si>
    <t>GRUPO DE GESTIÓN DE RECURSOS HUMANOS</t>
  </si>
  <si>
    <t>GRUPO DE GESTIÓN DE SERVICIOS PÚBLICOS</t>
  </si>
  <si>
    <t>GRUPO DE GESTIÓN DEL CONOCIMIENTO</t>
  </si>
  <si>
    <t>GRUPO DE GESTIÓN FINANCIERA</t>
  </si>
  <si>
    <t>GRUPO DE CONTROL INTERNO</t>
  </si>
  <si>
    <t>GRUPO DE DIRECCIONAMIENTO ESTRATÉGICO</t>
  </si>
  <si>
    <t>AH-SP-</t>
  </si>
  <si>
    <t>IN10</t>
  </si>
  <si>
    <t>IN11</t>
  </si>
  <si>
    <t>IN12</t>
  </si>
  <si>
    <t>IN13</t>
  </si>
  <si>
    <t>Eficiencia de Recaudo  Corriente</t>
  </si>
  <si>
    <t>Eficiencia de Recaudo Total</t>
  </si>
  <si>
    <t>Cobertura de medición</t>
  </si>
  <si>
    <t>Calidad del Agua</t>
  </si>
  <si>
    <t>Índice de agua no contabilizada</t>
  </si>
  <si>
    <t>Continuidad del Servicio (Aseo)</t>
  </si>
  <si>
    <t>Disposición en Relleno Sanitario</t>
  </si>
  <si>
    <t>(Valor  Recaudado  Corriente Usuario Final / Valor  Facturado Corriente Usuario Final) x100%</t>
  </si>
  <si>
    <t>Menor al 59%</t>
  </si>
  <si>
    <t>Entre 60% y 79%</t>
  </si>
  <si>
    <t>Entre 80% y 100%</t>
  </si>
  <si>
    <t>(Valor  Recaudado  Total Usuario Final / Valor  Facturado TotalUsuario Final) x100%</t>
  </si>
  <si>
    <t>Entre 60% y 70%</t>
  </si>
  <si>
    <t>Entre 71% y 100%</t>
  </si>
  <si>
    <t>Días</t>
  </si>
  <si>
    <t>(Cuentas por Cobrar  a particulares y/o oficiales /  Valor Facturado Usuarios particulares y/o oficiales) x 365</t>
  </si>
  <si>
    <t xml:space="preserve">(Inversión realizada / Inversión presupuestada) x 100% </t>
  </si>
  <si>
    <t xml:space="preserve">(Residuos sólidos recolectada/ Residuos sólidos producidos) x 100%           </t>
  </si>
  <si>
    <t xml:space="preserve">Medición de acuerdo al IRCA          </t>
  </si>
  <si>
    <t>Mayor al 8%</t>
  </si>
  <si>
    <t>Entre el 5% y el 8%</t>
  </si>
  <si>
    <t>Menor al 5%</t>
  </si>
  <si>
    <t xml:space="preserve">(Volumen  producido - Volumen facturado /   Volumen  producido)   x 100          </t>
  </si>
  <si>
    <t>Mayor al 50%</t>
  </si>
  <si>
    <t>Entre el 30% y el 50%</t>
  </si>
  <si>
    <t>Menor al 30%</t>
  </si>
  <si>
    <t>Menor al 70%</t>
  </si>
  <si>
    <t>Entre 71% y 90%</t>
  </si>
  <si>
    <t>Entre 91% y 100%</t>
  </si>
  <si>
    <t>Mayor a 45 días</t>
  </si>
  <si>
    <t>Entre 31 y 45 días</t>
  </si>
  <si>
    <t>Menor a 31 días</t>
  </si>
  <si>
    <t>Vr. Facturado corriente usuario final</t>
  </si>
  <si>
    <t>Vr. recaudado corriente usuario final</t>
  </si>
  <si>
    <t>Vr. Total Facturado usuario final</t>
  </si>
  <si>
    <t>Vr. Total Recaudado usuario final</t>
  </si>
  <si>
    <t>Cuentas por cobrar a particulares y/o entidades oficiales</t>
  </si>
  <si>
    <t>Inversión Presupuestada</t>
  </si>
  <si>
    <t>No. de suscriptores</t>
  </si>
  <si>
    <t>No. de domicilios</t>
  </si>
  <si>
    <t>Residuos sólidos recolectados</t>
  </si>
  <si>
    <t>Residuos sólidos producidos</t>
  </si>
  <si>
    <t>No. de medidores en servicio</t>
  </si>
  <si>
    <t>Resultados medición metodológia IRCA</t>
  </si>
  <si>
    <t xml:space="preserve">Volumen producido </t>
  </si>
  <si>
    <t>Volumen facturado</t>
  </si>
  <si>
    <t>No. de días de recolección de residuos sólidos en el semestre</t>
  </si>
  <si>
    <t>Residuos sólidos en relleno sanitario</t>
  </si>
  <si>
    <t>(Residuos sólidos en relleno sanitario / Residuos sólidos producidos)     x 100    %</t>
  </si>
  <si>
    <t>Medir la eficiencia en el recaudo corriente de la prestación de los servicios pubicos domiciliarios de Aguas del Huila.</t>
  </si>
  <si>
    <t>Medir la eficiencia en el recaudo total de la prestación de los servicios pubicos domiciliarios de Aguas del Huila.</t>
  </si>
  <si>
    <t>Controlar la cartera existentes de servicios publicos por edades con el fin de evaluar la rotación de la misma.</t>
  </si>
  <si>
    <t>Realizar el seguimiento a la ejecución de la inversión establecida para la vigencia fiscal respectiva.</t>
  </si>
  <si>
    <t xml:space="preserve">Medir el grado de cobertura en   la prestación del servicio de alcantarillado administrado  por Aguas del Huila. </t>
  </si>
  <si>
    <t xml:space="preserve">Medir el grado de cobertura en   la prestación del servicio de acueducto administrado por Aguas del Huila. </t>
  </si>
  <si>
    <t xml:space="preserve">Medir el grado de cobertura en   la prestación del servicio de aseo administrado  por Aguas del Huila. </t>
  </si>
  <si>
    <t>Lograr que Aguas del Huila facture la totalidad del agua producida.</t>
  </si>
  <si>
    <t>Lograr que los suscriptores del servicio de acueducto de Aguas del Huila, tengan su instrumento medición.</t>
  </si>
  <si>
    <t>Prestar el servico de acueducto en forma continua las 24 horas.</t>
  </si>
  <si>
    <t>Recolectar los residuos solidos en los dias y rutas establecidas en el PEGIRS.</t>
  </si>
  <si>
    <t>Disponer la totalidad de los residuos solidos recolectados en el sitio de disposición final.</t>
  </si>
  <si>
    <t>IN14</t>
  </si>
  <si>
    <t>Monitorear la calidad de agua suministrada a los usuarios por parte de Aguas de Huila.</t>
  </si>
  <si>
    <t>PQR en la prestación del servicio.</t>
  </si>
  <si>
    <t>Medir el grado de satisfación de los suscriptores en la prestación del servicio.</t>
  </si>
  <si>
    <t>Entre 0 y 10%</t>
  </si>
  <si>
    <t>Entre 11% y el 20%</t>
  </si>
  <si>
    <t>Mayor al 21%</t>
  </si>
  <si>
    <t>Número de PQR recibidas</t>
  </si>
  <si>
    <t>Número de suscriptores del servicio</t>
  </si>
  <si>
    <t>Horas sin servicio mensual</t>
  </si>
  <si>
    <t>(720 - Horas sin servicio mensuales) / 720) * 100</t>
  </si>
  <si>
    <t>GESTIÓN DE SERVICIOS PÚBLICOS - PAICOL</t>
  </si>
  <si>
    <t>Inversión realizada por mes</t>
  </si>
  <si>
    <t>Inversión Acumulada en el periodo</t>
  </si>
  <si>
    <t>&lt; 5%</t>
  </si>
  <si>
    <t>&lt; 15%</t>
  </si>
  <si>
    <t>Cobertura   (Acueducto)</t>
  </si>
  <si>
    <t>Cobertura   (Alcantarillado)</t>
  </si>
  <si>
    <t xml:space="preserve">Cobertura   (Servicio de Aseo) </t>
  </si>
  <si>
    <t>Continuidad del servicio (Acueducto)</t>
  </si>
  <si>
    <t xml:space="preserve">Rotación de Cartera </t>
  </si>
  <si>
    <t>Ejecución de inversiones</t>
  </si>
  <si>
    <t>TABLERO DE INDICADORES BÁSICOS PARA EMPRESAS DE ACUEDUCTO, ALCANTARILLADO Y ASEO</t>
  </si>
  <si>
    <r>
      <t xml:space="preserve">MUNICIPIO : </t>
    </r>
    <r>
      <rPr>
        <sz val="16"/>
        <rFont val="Arial"/>
        <family val="2"/>
      </rPr>
      <t>PAICOL</t>
    </r>
  </si>
  <si>
    <t>INFORMACIÓN REQUERIDA</t>
  </si>
  <si>
    <t>Unidad</t>
  </si>
  <si>
    <t>Domicilios</t>
  </si>
  <si>
    <t>Suscriptores de Acueducto</t>
  </si>
  <si>
    <t>Suscriptores</t>
  </si>
  <si>
    <t>Suscriptores de Alcantarillado</t>
  </si>
  <si>
    <t>Suscriptores de Aseo</t>
  </si>
  <si>
    <t>Volúmen de agua producida</t>
  </si>
  <si>
    <t>(m3/mes)</t>
  </si>
  <si>
    <t>Volúmen de agua facturada</t>
  </si>
  <si>
    <t>($/mes)</t>
  </si>
  <si>
    <t>Gastos totales</t>
  </si>
  <si>
    <t>Costos de personal</t>
  </si>
  <si>
    <t xml:space="preserve">Valor facturado Corriente servicio de Acueducto </t>
  </si>
  <si>
    <t>Valor recaudado Corriente servicio de Acueducto</t>
  </si>
  <si>
    <t>Valor facturado Corriente servicio de Alcantarillado</t>
  </si>
  <si>
    <t>Valor recaudado Corriente servicio de Alcantarillado</t>
  </si>
  <si>
    <t>Valor facturado Corriente servicio de Aseo</t>
  </si>
  <si>
    <t>Valor recaudado Corriente servicio de Aseo</t>
  </si>
  <si>
    <t>Valor facturado Deuda servicio de Acueducto</t>
  </si>
  <si>
    <t>Valor recaudado Deuda  servicio de Acueducto</t>
  </si>
  <si>
    <t>Valor facturado Deuda  servicio de Alcantarillado</t>
  </si>
  <si>
    <t>Valor recaudadoDeuda   servicio de Alcantarillado</t>
  </si>
  <si>
    <t>Valor facturado Deuda   servicio de Aseo</t>
  </si>
  <si>
    <t>Valor recaudado Deuda  servicio de Aseo</t>
  </si>
  <si>
    <t>Valor facturado Total servicio de Acueducto</t>
  </si>
  <si>
    <t>Valor recaudado Total servicio de Acueducto</t>
  </si>
  <si>
    <t>Valor facturado Total servicio de Alcantarillado</t>
  </si>
  <si>
    <t>Valor recaudado Total  servicio de Alcantarillado</t>
  </si>
  <si>
    <t>Valor facturado Total servicio de Aseo</t>
  </si>
  <si>
    <t>Valor recaudado Total  servicio de Aseo</t>
  </si>
  <si>
    <t>Gran total facturado</t>
  </si>
  <si>
    <t>Gran total recaudado</t>
  </si>
  <si>
    <t>Calidad bacteriológica</t>
  </si>
  <si>
    <t>Cumple</t>
  </si>
  <si>
    <t>Calidad fisicoquiímica</t>
  </si>
  <si>
    <t>Toneladas dispuestas Aseo</t>
  </si>
  <si>
    <t>Total Facturado Corriente</t>
  </si>
  <si>
    <t>Total Recaudado Corriente</t>
  </si>
  <si>
    <t>Total Facturado deuda</t>
  </si>
  <si>
    <t>Total Recaudado deuda</t>
  </si>
  <si>
    <t>Eficiencia Corriente Total</t>
  </si>
  <si>
    <t>Eficiencia Deuda Total</t>
  </si>
  <si>
    <t>INDICADORES</t>
  </si>
  <si>
    <t>Cobertura de Acueducto</t>
  </si>
  <si>
    <t>(%)</t>
  </si>
  <si>
    <t>Cobertura de Alcantarillado</t>
  </si>
  <si>
    <t>Cobertura de Aseo</t>
  </si>
  <si>
    <t>Calidad del agua</t>
  </si>
  <si>
    <t>Apta / No Apta</t>
  </si>
  <si>
    <t>Índice de Agua No Contabilizada</t>
  </si>
  <si>
    <t>Eficiencia  recaudo Corriente Acueducto</t>
  </si>
  <si>
    <t>Eficiencia  recaudo Corriente  Alcantarillado</t>
  </si>
  <si>
    <t>Eficiencia  recaudo Corriente Aseo</t>
  </si>
  <si>
    <t>Eficiencia  recaudo Deuda Acueducto</t>
  </si>
  <si>
    <t>Eficiencia  recaudo Deuda  Alcantarillado</t>
  </si>
  <si>
    <t>Eficiencia  recaudo Deuda Aseo</t>
  </si>
  <si>
    <t>Eficiencia recaudo Total  Acueducto</t>
  </si>
  <si>
    <t>Eficiencia recaudo Total  Alcantarillado</t>
  </si>
  <si>
    <t>Eficiencia recaudo Total Aseo</t>
  </si>
  <si>
    <t>Eficiencia recaudo Total</t>
  </si>
  <si>
    <t>Eficiencia laboral Acueducto y Alcantarillado</t>
  </si>
  <si>
    <t>($/m3)</t>
  </si>
  <si>
    <t>Utilidad neta</t>
  </si>
  <si>
    <t>INDICADORES DE COBERTURA</t>
  </si>
  <si>
    <t>COBERTURAS DE SERVICIO</t>
  </si>
  <si>
    <t>Vr. Facturado usuarios particulares y/o entidades oficiales - Mes</t>
  </si>
  <si>
    <t>Vr. Facturado usuarios particulares y/o entidades oficiales - Acumulado</t>
  </si>
  <si>
    <t>AGUAS DEL HUILA S.A. E.S.P.</t>
  </si>
  <si>
    <t>EMPRESA:</t>
  </si>
  <si>
    <t xml:space="preserve">(Número de Suscriptores servicio de acueducto / Número de Domicilios) x 100% </t>
  </si>
  <si>
    <t xml:space="preserve">(Número de Suscriptores servicio alcantarillado / Número de Domicilios) x 100%  </t>
  </si>
  <si>
    <t xml:space="preserve">(Número de Medidores en servicio / Número de Suscriptores) x 100%          </t>
  </si>
  <si>
    <t>Número de dias de recolección de residuos sólidos por semestre / 144</t>
  </si>
  <si>
    <t>Número de PQR recibidas / número de suscriptores del servicio*100</t>
  </si>
  <si>
    <t>No. de suscriptores servicio acueducto</t>
  </si>
  <si>
    <t>No. de suscriptores servicio alcantarillado</t>
  </si>
  <si>
    <t>No de horas sin servicio</t>
  </si>
  <si>
    <t>No. de PQR recibidas</t>
  </si>
  <si>
    <t>|||</t>
  </si>
  <si>
    <t>RESULTADOS DE LA VIGENCIA</t>
  </si>
  <si>
    <t>Volúmen de vertimiento de alcantarillado facturado</t>
  </si>
  <si>
    <t>&lt; 1%</t>
  </si>
  <si>
    <t>NIT 800'100.553-2</t>
  </si>
  <si>
    <t>VIGENCIA 2021</t>
  </si>
  <si>
    <t>META  AÑO 2021</t>
  </si>
  <si>
    <t>Versión 8.0</t>
  </si>
  <si>
    <t>META 2025</t>
  </si>
  <si>
    <t>RESULTADOS VIGENCIA 2025</t>
  </si>
  <si>
    <t>NIT 800.100.553-2</t>
  </si>
  <si>
    <t>META  AÑO 2025</t>
  </si>
  <si>
    <t>VIGENCIA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</si>
</sst>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%"/>
    <numFmt numFmtId="165" formatCode="0.0"/>
    <numFmt numFmtId="166" formatCode="#,##0.0"/>
    <numFmt numFmtId="167" formatCode="_-* #,##0_-;\-* #,##0_-;_-* &quot;-&quot;??_-;_-@_-"/>
    <numFmt numFmtId="168" formatCode="#,##0.000"/>
    <numFmt numFmtId="169" formatCode="_ * #,##0.00_ ;_ * \-#,##0.00_ ;_ * &quot;-&quot;??_ ;_ @_ "/>
    <numFmt numFmtId="170" formatCode="_-* #,##0.0000_-;\-* #,##0.0000_-;_-* &quot;-&quot;??_-;_-@_-"/>
  </numFmts>
  <fonts count="3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6"/>
      <color theme="1"/>
      <name val="Arial"/>
      <family val="2"/>
    </font>
    <font>
      <sz val="10"/>
      <name val="Tahoma"/>
      <family val="2"/>
    </font>
    <font>
      <sz val="8"/>
      <name val="Tahoma"/>
      <family val="2"/>
    </font>
    <font>
      <b/>
      <sz val="10"/>
      <name val="Tahoma"/>
      <family val="2"/>
    </font>
    <font>
      <b/>
      <sz val="10"/>
      <color rgb="FFFF0000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b/>
      <sz val="8"/>
      <name val="Tahoma"/>
      <family val="2"/>
    </font>
    <font>
      <b/>
      <sz val="10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0"/>
      <color theme="1"/>
      <name val="Arial"/>
      <family val="2"/>
    </font>
    <font>
      <b/>
      <sz val="6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i/>
      <sz val="9"/>
      <color theme="1"/>
      <name val="Calibri"/>
      <family val="2"/>
      <scheme val="minor"/>
    </font>
    <font>
      <i/>
      <sz val="8"/>
      <name val="Tahoma"/>
      <family val="2"/>
    </font>
    <font>
      <sz val="9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9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3" fillId="0" borderId="0"/>
    <xf numFmtId="169" fontId="1" fillId="0" borderId="0" applyFont="0" applyFill="0" applyBorder="0" applyAlignment="0" applyProtection="0"/>
    <xf numFmtId="0" fontId="23" fillId="0" borderId="0"/>
    <xf numFmtId="0" fontId="23" fillId="0" borderId="0"/>
    <xf numFmtId="43" fontId="23" fillId="0" borderId="0" applyFont="0" applyFill="0" applyBorder="0" applyAlignment="0" applyProtection="0"/>
  </cellStyleXfs>
  <cellXfs count="314">
    <xf numFmtId="0" fontId="0" fillId="0" borderId="0" xfId="0"/>
    <xf numFmtId="0" fontId="5" fillId="0" borderId="0" xfId="0" applyFont="1"/>
    <xf numFmtId="0" fontId="8" fillId="0" borderId="0" xfId="1" applyFont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12" xfId="1" applyFont="1" applyBorder="1" applyAlignment="1">
      <alignment vertical="center"/>
    </xf>
    <xf numFmtId="0" fontId="10" fillId="2" borderId="15" xfId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9" fontId="8" fillId="0" borderId="0" xfId="1" applyNumberFormat="1" applyFont="1" applyAlignment="1">
      <alignment horizontal="center" vertical="center"/>
    </xf>
    <xf numFmtId="9" fontId="10" fillId="0" borderId="1" xfId="1" applyNumberFormat="1" applyFont="1" applyBorder="1" applyAlignment="1">
      <alignment vertical="center"/>
    </xf>
    <xf numFmtId="164" fontId="8" fillId="7" borderId="1" xfId="1" applyNumberFormat="1" applyFont="1" applyFill="1" applyBorder="1" applyAlignment="1">
      <alignment horizontal="right" vertical="center"/>
    </xf>
    <xf numFmtId="164" fontId="8" fillId="7" borderId="15" xfId="1" applyNumberFormat="1" applyFont="1" applyFill="1" applyBorder="1" applyAlignment="1">
      <alignment horizontal="right" vertical="center"/>
    </xf>
    <xf numFmtId="9" fontId="9" fillId="7" borderId="12" xfId="1" applyNumberFormat="1" applyFont="1" applyFill="1" applyBorder="1" applyAlignment="1">
      <alignment horizontal="center" vertical="center" wrapText="1"/>
    </xf>
    <xf numFmtId="0" fontId="9" fillId="7" borderId="12" xfId="1" applyFont="1" applyFill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165" fontId="8" fillId="0" borderId="22" xfId="1" applyNumberFormat="1" applyFont="1" applyBorder="1" applyAlignment="1">
      <alignment vertical="center"/>
    </xf>
    <xf numFmtId="0" fontId="8" fillId="7" borderId="15" xfId="1" applyFont="1" applyFill="1" applyBorder="1" applyAlignment="1">
      <alignment vertical="center"/>
    </xf>
    <xf numFmtId="0" fontId="8" fillId="7" borderId="13" xfId="1" applyFont="1" applyFill="1" applyBorder="1" applyAlignment="1">
      <alignment vertical="center"/>
    </xf>
    <xf numFmtId="165" fontId="8" fillId="7" borderId="29" xfId="1" applyNumberFormat="1" applyFont="1" applyFill="1" applyBorder="1" applyAlignment="1">
      <alignment vertical="center"/>
    </xf>
    <xf numFmtId="164" fontId="9" fillId="7" borderId="12" xfId="1" applyNumberFormat="1" applyFont="1" applyFill="1" applyBorder="1" applyAlignment="1">
      <alignment horizontal="center" vertical="center" wrapText="1"/>
    </xf>
    <xf numFmtId="3" fontId="8" fillId="0" borderId="1" xfId="1" applyNumberFormat="1" applyFont="1" applyBorder="1" applyAlignment="1">
      <alignment vertical="center"/>
    </xf>
    <xf numFmtId="3" fontId="8" fillId="7" borderId="15" xfId="1" applyNumberFormat="1" applyFont="1" applyFill="1" applyBorder="1" applyAlignment="1">
      <alignment vertical="center"/>
    </xf>
    <xf numFmtId="164" fontId="14" fillId="0" borderId="1" xfId="1" applyNumberFormat="1" applyFont="1" applyBorder="1" applyAlignment="1">
      <alignment vertical="center"/>
    </xf>
    <xf numFmtId="0" fontId="14" fillId="7" borderId="30" xfId="1" applyFont="1" applyFill="1" applyBorder="1" applyAlignment="1">
      <alignment horizontal="right" vertical="center"/>
    </xf>
    <xf numFmtId="0" fontId="2" fillId="0" borderId="36" xfId="1" applyFont="1" applyBorder="1" applyAlignment="1">
      <alignment horizontal="center" vertical="center" textRotation="90" wrapText="1"/>
    </xf>
    <xf numFmtId="164" fontId="15" fillId="0" borderId="36" xfId="0" applyNumberFormat="1" applyFont="1" applyBorder="1" applyAlignment="1">
      <alignment horizontal="center" vertical="center" textRotation="90" wrapText="1"/>
    </xf>
    <xf numFmtId="0" fontId="15" fillId="8" borderId="36" xfId="0" applyFont="1" applyFill="1" applyBorder="1" applyAlignment="1">
      <alignment horizontal="center" vertical="center" textRotation="90" wrapText="1"/>
    </xf>
    <xf numFmtId="0" fontId="19" fillId="5" borderId="36" xfId="0" applyFont="1" applyFill="1" applyBorder="1" applyAlignment="1">
      <alignment horizontal="center" vertical="center" wrapText="1"/>
    </xf>
    <xf numFmtId="0" fontId="19" fillId="4" borderId="36" xfId="0" applyFont="1" applyFill="1" applyBorder="1" applyAlignment="1">
      <alignment horizontal="center" vertical="center" wrapText="1"/>
    </xf>
    <xf numFmtId="0" fontId="19" fillId="3" borderId="36" xfId="0" applyFont="1" applyFill="1" applyBorder="1" applyAlignment="1">
      <alignment horizontal="center" vertical="center" wrapText="1"/>
    </xf>
    <xf numFmtId="166" fontId="9" fillId="7" borderId="12" xfId="1" applyNumberFormat="1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justify" vertical="center" wrapText="1"/>
    </xf>
    <xf numFmtId="0" fontId="9" fillId="0" borderId="12" xfId="1" applyFont="1" applyBorder="1" applyAlignment="1">
      <alignment horizontal="justify" vertical="center" wrapText="1"/>
    </xf>
    <xf numFmtId="0" fontId="2" fillId="0" borderId="36" xfId="1" applyFont="1" applyBorder="1" applyAlignment="1">
      <alignment horizontal="justify" vertical="top" wrapText="1"/>
    </xf>
    <xf numFmtId="0" fontId="17" fillId="0" borderId="36" xfId="0" applyFont="1" applyBorder="1" applyAlignment="1">
      <alignment horizontal="justify" vertical="top" wrapText="1"/>
    </xf>
    <xf numFmtId="164" fontId="10" fillId="0" borderId="1" xfId="1" applyNumberFormat="1" applyFont="1" applyBorder="1" applyAlignment="1">
      <alignment vertical="center"/>
    </xf>
    <xf numFmtId="49" fontId="5" fillId="0" borderId="36" xfId="0" applyNumberFormat="1" applyFont="1" applyBorder="1" applyAlignment="1">
      <alignment horizontal="center" vertical="top"/>
    </xf>
    <xf numFmtId="0" fontId="16" fillId="0" borderId="36" xfId="0" applyFont="1" applyBorder="1" applyAlignment="1">
      <alignment vertical="top" wrapText="1"/>
    </xf>
    <xf numFmtId="0" fontId="16" fillId="0" borderId="37" xfId="0" applyFont="1" applyBorder="1" applyAlignment="1">
      <alignment horizontal="left" vertical="top" wrapText="1"/>
    </xf>
    <xf numFmtId="0" fontId="20" fillId="0" borderId="0" xfId="0" applyFont="1"/>
    <xf numFmtId="0" fontId="22" fillId="0" borderId="0" xfId="0" applyFont="1"/>
    <xf numFmtId="0" fontId="2" fillId="0" borderId="36" xfId="0" applyFont="1" applyBorder="1" applyAlignment="1">
      <alignment horizontal="center" vertical="center" textRotation="90" wrapText="1"/>
    </xf>
    <xf numFmtId="9" fontId="3" fillId="0" borderId="36" xfId="1" applyNumberFormat="1" applyFont="1" applyBorder="1" applyAlignment="1">
      <alignment horizontal="center" vertical="center" wrapText="1"/>
    </xf>
    <xf numFmtId="3" fontId="10" fillId="0" borderId="1" xfId="1" applyNumberFormat="1" applyFont="1" applyBorder="1" applyAlignment="1">
      <alignment vertical="center"/>
    </xf>
    <xf numFmtId="166" fontId="15" fillId="0" borderId="36" xfId="0" applyNumberFormat="1" applyFont="1" applyBorder="1" applyAlignment="1">
      <alignment horizontal="center" vertical="center" textRotation="90" wrapText="1"/>
    </xf>
    <xf numFmtId="0" fontId="9" fillId="0" borderId="22" xfId="1" applyFont="1" applyBorder="1" applyAlignment="1">
      <alignment horizontal="justify" vertical="top" wrapText="1"/>
    </xf>
    <xf numFmtId="3" fontId="8" fillId="7" borderId="1" xfId="1" applyNumberFormat="1" applyFont="1" applyFill="1" applyBorder="1" applyAlignment="1">
      <alignment horizontal="right" vertical="center"/>
    </xf>
    <xf numFmtId="3" fontId="8" fillId="7" borderId="15" xfId="1" applyNumberFormat="1" applyFont="1" applyFill="1" applyBorder="1" applyAlignment="1">
      <alignment horizontal="right" vertical="center"/>
    </xf>
    <xf numFmtId="9" fontId="0" fillId="0" borderId="0" xfId="2" applyFont="1"/>
    <xf numFmtId="3" fontId="9" fillId="0" borderId="1" xfId="1" applyNumberFormat="1" applyFont="1" applyBorder="1" applyAlignment="1">
      <alignment vertical="center"/>
    </xf>
    <xf numFmtId="1" fontId="9" fillId="7" borderId="12" xfId="1" applyNumberFormat="1" applyFont="1" applyFill="1" applyBorder="1" applyAlignment="1">
      <alignment horizontal="center" vertical="center" wrapText="1"/>
    </xf>
    <xf numFmtId="3" fontId="9" fillId="7" borderId="15" xfId="1" applyNumberFormat="1" applyFont="1" applyFill="1" applyBorder="1" applyAlignment="1">
      <alignment vertical="center"/>
    </xf>
    <xf numFmtId="9" fontId="10" fillId="0" borderId="1" xfId="1" applyNumberFormat="1" applyFont="1" applyBorder="1" applyAlignment="1">
      <alignment horizontal="right" vertical="center"/>
    </xf>
    <xf numFmtId="4" fontId="8" fillId="7" borderId="15" xfId="1" applyNumberFormat="1" applyFont="1" applyFill="1" applyBorder="1" applyAlignment="1">
      <alignment vertical="center"/>
    </xf>
    <xf numFmtId="164" fontId="8" fillId="0" borderId="1" xfId="1" applyNumberFormat="1" applyFont="1" applyBorder="1" applyAlignment="1">
      <alignment vertical="center"/>
    </xf>
    <xf numFmtId="10" fontId="8" fillId="7" borderId="15" xfId="1" applyNumberFormat="1" applyFont="1" applyFill="1" applyBorder="1" applyAlignment="1">
      <alignment vertical="center"/>
    </xf>
    <xf numFmtId="0" fontId="1" fillId="0" borderId="0" xfId="1"/>
    <xf numFmtId="0" fontId="8" fillId="0" borderId="1" xfId="1" applyFont="1" applyBorder="1" applyAlignment="1">
      <alignment horizontal="center" vertical="center"/>
    </xf>
    <xf numFmtId="164" fontId="8" fillId="7" borderId="1" xfId="1" applyNumberFormat="1" applyFont="1" applyFill="1" applyBorder="1" applyAlignment="1">
      <alignment horizontal="center" vertical="center"/>
    </xf>
    <xf numFmtId="164" fontId="8" fillId="7" borderId="1" xfId="1" applyNumberFormat="1" applyFont="1" applyFill="1" applyBorder="1" applyAlignment="1">
      <alignment horizontal="center"/>
    </xf>
    <xf numFmtId="164" fontId="8" fillId="7" borderId="15" xfId="1" applyNumberFormat="1" applyFont="1" applyFill="1" applyBorder="1" applyAlignment="1">
      <alignment horizontal="center" vertical="center"/>
    </xf>
    <xf numFmtId="164" fontId="8" fillId="7" borderId="15" xfId="1" applyNumberFormat="1" applyFont="1" applyFill="1" applyBorder="1" applyAlignment="1">
      <alignment horizontal="center"/>
    </xf>
    <xf numFmtId="2" fontId="8" fillId="0" borderId="1" xfId="1" applyNumberFormat="1" applyFont="1" applyBorder="1" applyAlignment="1">
      <alignment horizontal="center" vertical="center"/>
    </xf>
    <xf numFmtId="2" fontId="8" fillId="7" borderId="15" xfId="1" applyNumberFormat="1" applyFont="1" applyFill="1" applyBorder="1" applyAlignment="1">
      <alignment vertical="center"/>
    </xf>
    <xf numFmtId="2" fontId="8" fillId="0" borderId="1" xfId="1" applyNumberFormat="1" applyFont="1" applyBorder="1" applyAlignment="1">
      <alignment vertical="center"/>
    </xf>
    <xf numFmtId="0" fontId="9" fillId="0" borderId="1" xfId="1" applyFont="1" applyBorder="1" applyAlignment="1">
      <alignment horizontal="justify" vertical="top" wrapText="1"/>
    </xf>
    <xf numFmtId="0" fontId="10" fillId="2" borderId="1" xfId="1" applyFont="1" applyFill="1" applyBorder="1" applyAlignment="1">
      <alignment horizontal="center" vertical="center"/>
    </xf>
    <xf numFmtId="0" fontId="9" fillId="0" borderId="12" xfId="1" applyFont="1" applyBorder="1" applyAlignment="1">
      <alignment horizontal="justify" vertical="top" wrapText="1"/>
    </xf>
    <xf numFmtId="0" fontId="3" fillId="0" borderId="0" xfId="1" applyFont="1" applyProtection="1">
      <protection locked="0"/>
    </xf>
    <xf numFmtId="0" fontId="2" fillId="0" borderId="0" xfId="1" applyFont="1"/>
    <xf numFmtId="0" fontId="1" fillId="0" borderId="0" xfId="1" applyProtection="1">
      <protection locked="0"/>
    </xf>
    <xf numFmtId="0" fontId="3" fillId="10" borderId="1" xfId="1" applyFont="1" applyFill="1" applyBorder="1" applyAlignment="1">
      <alignment horizontal="center" vertical="center"/>
    </xf>
    <xf numFmtId="17" fontId="27" fillId="10" borderId="1" xfId="1" applyNumberFormat="1" applyFont="1" applyFill="1" applyBorder="1" applyAlignment="1">
      <alignment horizontal="center" vertical="center"/>
    </xf>
    <xf numFmtId="10" fontId="1" fillId="0" borderId="1" xfId="1" applyNumberFormat="1" applyBorder="1"/>
    <xf numFmtId="0" fontId="2" fillId="0" borderId="49" xfId="1" quotePrefix="1" applyFont="1" applyBorder="1" applyAlignment="1">
      <alignment horizontal="right" vertical="center"/>
    </xf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167" fontId="1" fillId="0" borderId="1" xfId="3" applyNumberFormat="1" applyFont="1" applyBorder="1" applyAlignment="1" applyProtection="1">
      <alignment vertical="center"/>
      <protection locked="0"/>
    </xf>
    <xf numFmtId="0" fontId="2" fillId="11" borderId="50" xfId="1" quotePrefix="1" applyFont="1" applyFill="1" applyBorder="1" applyAlignment="1">
      <alignment horizontal="right" vertical="center"/>
    </xf>
    <xf numFmtId="0" fontId="2" fillId="11" borderId="1" xfId="1" applyFont="1" applyFill="1" applyBorder="1" applyAlignment="1">
      <alignment vertical="center"/>
    </xf>
    <xf numFmtId="0" fontId="2" fillId="11" borderId="1" xfId="1" applyFont="1" applyFill="1" applyBorder="1" applyAlignment="1">
      <alignment horizontal="center" vertical="center"/>
    </xf>
    <xf numFmtId="167" fontId="1" fillId="11" borderId="1" xfId="3" applyNumberFormat="1" applyFont="1" applyFill="1" applyBorder="1" applyAlignment="1" applyProtection="1">
      <alignment vertical="center"/>
      <protection locked="0"/>
    </xf>
    <xf numFmtId="0" fontId="2" fillId="0" borderId="50" xfId="1" quotePrefix="1" applyFont="1" applyBorder="1" applyAlignment="1">
      <alignment horizontal="right" vertical="center"/>
    </xf>
    <xf numFmtId="167" fontId="1" fillId="0" borderId="1" xfId="1" applyNumberFormat="1" applyBorder="1" applyAlignment="1" applyProtection="1">
      <alignment vertical="center"/>
      <protection locked="0"/>
    </xf>
    <xf numFmtId="167" fontId="1" fillId="11" borderId="1" xfId="1" applyNumberFormat="1" applyFill="1" applyBorder="1" applyAlignment="1" applyProtection="1">
      <alignment vertical="center"/>
      <protection locked="0"/>
    </xf>
    <xf numFmtId="170" fontId="1" fillId="11" borderId="1" xfId="1" applyNumberFormat="1" applyFill="1" applyBorder="1" applyAlignment="1" applyProtection="1">
      <alignment vertical="center"/>
      <protection locked="0"/>
    </xf>
    <xf numFmtId="0" fontId="2" fillId="11" borderId="0" xfId="1" applyFont="1" applyFill="1" applyAlignment="1">
      <alignment vertical="center"/>
    </xf>
    <xf numFmtId="0" fontId="1" fillId="11" borderId="1" xfId="1" applyFill="1" applyBorder="1" applyAlignment="1" applyProtection="1">
      <alignment horizontal="center" vertical="center"/>
      <protection locked="0"/>
    </xf>
    <xf numFmtId="0" fontId="1" fillId="11" borderId="1" xfId="1" applyFill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22" xfId="1" applyFont="1" applyBorder="1" applyAlignment="1">
      <alignment vertical="center"/>
    </xf>
    <xf numFmtId="0" fontId="2" fillId="0" borderId="22" xfId="1" applyFont="1" applyBorder="1" applyAlignment="1">
      <alignment horizontal="center" vertical="center"/>
    </xf>
    <xf numFmtId="0" fontId="1" fillId="0" borderId="22" xfId="1" applyBorder="1" applyAlignment="1" applyProtection="1">
      <alignment horizontal="center" vertical="center"/>
      <protection locked="0"/>
    </xf>
    <xf numFmtId="0" fontId="1" fillId="0" borderId="22" xfId="1" applyBorder="1" applyAlignment="1">
      <alignment horizontal="center" vertical="center"/>
    </xf>
    <xf numFmtId="0" fontId="2" fillId="0" borderId="52" xfId="1" quotePrefix="1" applyFont="1" applyBorder="1" applyAlignment="1">
      <alignment horizontal="right" vertical="center"/>
    </xf>
    <xf numFmtId="0" fontId="2" fillId="0" borderId="52" xfId="1" applyFont="1" applyBorder="1" applyAlignment="1">
      <alignment vertical="center"/>
    </xf>
    <xf numFmtId="0" fontId="2" fillId="0" borderId="52" xfId="1" applyFont="1" applyBorder="1" applyAlignment="1">
      <alignment horizontal="center" vertical="center"/>
    </xf>
    <xf numFmtId="0" fontId="2" fillId="11" borderId="1" xfId="1" quotePrefix="1" applyFont="1" applyFill="1" applyBorder="1" applyAlignment="1">
      <alignment horizontal="right" vertical="center"/>
    </xf>
    <xf numFmtId="0" fontId="2" fillId="0" borderId="1" xfId="1" quotePrefix="1" applyFont="1" applyBorder="1" applyAlignment="1">
      <alignment horizontal="right" vertical="center"/>
    </xf>
    <xf numFmtId="0" fontId="1" fillId="0" borderId="1" xfId="1" applyBorder="1" applyAlignment="1" applyProtection="1">
      <alignment horizontal="center" vertical="center"/>
      <protection locked="0"/>
    </xf>
    <xf numFmtId="0" fontId="2" fillId="0" borderId="0" xfId="1" applyFont="1" applyAlignment="1">
      <alignment horizontal="center" vertical="center"/>
    </xf>
    <xf numFmtId="0" fontId="1" fillId="0" borderId="0" xfId="1" applyAlignment="1" applyProtection="1">
      <alignment horizontal="center" vertical="center"/>
      <protection locked="0"/>
    </xf>
    <xf numFmtId="0" fontId="1" fillId="0" borderId="0" xfId="1" applyAlignment="1">
      <alignment horizontal="center" vertical="center"/>
    </xf>
    <xf numFmtId="17" fontId="1" fillId="12" borderId="48" xfId="1" applyNumberFormat="1" applyFill="1" applyBorder="1" applyAlignment="1">
      <alignment horizontal="center" vertical="center"/>
    </xf>
    <xf numFmtId="17" fontId="1" fillId="12" borderId="1" xfId="1" applyNumberFormat="1" applyFill="1" applyBorder="1" applyAlignment="1">
      <alignment horizontal="center" vertical="center"/>
    </xf>
    <xf numFmtId="0" fontId="1" fillId="0" borderId="0" xfId="1" applyAlignment="1">
      <alignment vertical="center"/>
    </xf>
    <xf numFmtId="9" fontId="2" fillId="0" borderId="1" xfId="4" applyFont="1" applyFill="1" applyBorder="1" applyAlignment="1">
      <alignment horizontal="center" vertical="center"/>
    </xf>
    <xf numFmtId="168" fontId="1" fillId="13" borderId="1" xfId="1" applyNumberFormat="1" applyFill="1" applyBorder="1" applyAlignment="1">
      <alignment horizontal="center" vertical="center"/>
    </xf>
    <xf numFmtId="167" fontId="1" fillId="13" borderId="1" xfId="3" applyNumberFormat="1" applyFont="1" applyFill="1" applyBorder="1" applyAlignment="1">
      <alignment horizontal="center" vertical="center"/>
    </xf>
    <xf numFmtId="9" fontId="8" fillId="0" borderId="1" xfId="1" applyNumberFormat="1" applyFont="1" applyBorder="1" applyAlignment="1">
      <alignment vertical="center"/>
    </xf>
    <xf numFmtId="164" fontId="10" fillId="7" borderId="15" xfId="1" applyNumberFormat="1" applyFont="1" applyFill="1" applyBorder="1" applyAlignment="1">
      <alignment vertical="center"/>
    </xf>
    <xf numFmtId="3" fontId="10" fillId="7" borderId="15" xfId="1" applyNumberFormat="1" applyFont="1" applyFill="1" applyBorder="1" applyAlignment="1">
      <alignment vertical="center"/>
    </xf>
    <xf numFmtId="164" fontId="14" fillId="7" borderId="15" xfId="1" applyNumberFormat="1" applyFont="1" applyFill="1" applyBorder="1" applyAlignment="1">
      <alignment vertical="center"/>
    </xf>
    <xf numFmtId="9" fontId="10" fillId="7" borderId="15" xfId="1" applyNumberFormat="1" applyFont="1" applyFill="1" applyBorder="1" applyAlignment="1">
      <alignment vertical="center"/>
    </xf>
    <xf numFmtId="9" fontId="10" fillId="7" borderId="15" xfId="1" applyNumberFormat="1" applyFont="1" applyFill="1" applyBorder="1" applyAlignment="1">
      <alignment horizontal="center" vertical="center"/>
    </xf>
    <xf numFmtId="3" fontId="1" fillId="0" borderId="1" xfId="1" applyNumberFormat="1" applyBorder="1" applyAlignment="1">
      <alignment vertical="center"/>
    </xf>
    <xf numFmtId="167" fontId="1" fillId="0" borderId="0" xfId="1" applyNumberFormat="1"/>
    <xf numFmtId="167" fontId="1" fillId="14" borderId="52" xfId="1" applyNumberFormat="1" applyFill="1" applyBorder="1" applyAlignment="1" applyProtection="1">
      <alignment horizontal="center" vertical="center"/>
      <protection locked="0"/>
    </xf>
    <xf numFmtId="167" fontId="1" fillId="14" borderId="1" xfId="1" applyNumberFormat="1" applyFill="1" applyBorder="1" applyAlignment="1" applyProtection="1">
      <alignment horizontal="center" vertical="center"/>
      <protection locked="0"/>
    </xf>
    <xf numFmtId="164" fontId="28" fillId="14" borderId="1" xfId="4" applyNumberFormat="1" applyFont="1" applyFill="1" applyBorder="1" applyAlignment="1" applyProtection="1">
      <alignment horizontal="center" vertical="center"/>
      <protection locked="0"/>
    </xf>
    <xf numFmtId="10" fontId="1" fillId="14" borderId="1" xfId="4" applyNumberFormat="1" applyFont="1" applyFill="1" applyBorder="1" applyAlignment="1">
      <alignment horizontal="center" vertical="center"/>
    </xf>
    <xf numFmtId="9" fontId="1" fillId="14" borderId="1" xfId="4" applyFont="1" applyFill="1" applyBorder="1" applyAlignment="1">
      <alignment horizontal="center" vertical="center"/>
    </xf>
    <xf numFmtId="167" fontId="1" fillId="15" borderId="1" xfId="3" applyNumberFormat="1" applyFont="1" applyFill="1" applyBorder="1" applyAlignment="1" applyProtection="1">
      <alignment vertical="center"/>
      <protection locked="0"/>
    </xf>
    <xf numFmtId="167" fontId="1" fillId="0" borderId="1" xfId="9" applyNumberFormat="1" applyFont="1" applyFill="1" applyBorder="1" applyAlignment="1">
      <alignment vertical="center"/>
    </xf>
    <xf numFmtId="43" fontId="1" fillId="0" borderId="0" xfId="9" applyFont="1"/>
    <xf numFmtId="43" fontId="1" fillId="0" borderId="0" xfId="1" applyNumberFormat="1"/>
    <xf numFmtId="167" fontId="32" fillId="11" borderId="1" xfId="3" applyNumberFormat="1" applyFont="1" applyFill="1" applyBorder="1" applyAlignment="1" applyProtection="1">
      <alignment vertical="center"/>
      <protection locked="0"/>
    </xf>
    <xf numFmtId="167" fontId="32" fillId="0" borderId="1" xfId="3" applyNumberFormat="1" applyFont="1" applyBorder="1" applyAlignment="1" applyProtection="1">
      <alignment vertical="center"/>
      <protection locked="0"/>
    </xf>
    <xf numFmtId="0" fontId="3" fillId="11" borderId="50" xfId="1" quotePrefix="1" applyFont="1" applyFill="1" applyBorder="1" applyAlignment="1">
      <alignment horizontal="right" vertical="center"/>
    </xf>
    <xf numFmtId="0" fontId="3" fillId="11" borderId="1" xfId="1" applyFont="1" applyFill="1" applyBorder="1" applyAlignment="1">
      <alignment vertical="center"/>
    </xf>
    <xf numFmtId="0" fontId="3" fillId="11" borderId="1" xfId="1" applyFont="1" applyFill="1" applyBorder="1" applyAlignment="1">
      <alignment horizontal="center" vertical="center"/>
    </xf>
    <xf numFmtId="167" fontId="27" fillId="14" borderId="1" xfId="3" applyNumberFormat="1" applyFont="1" applyFill="1" applyBorder="1" applyAlignment="1" applyProtection="1">
      <alignment vertical="center"/>
      <protection locked="0"/>
    </xf>
    <xf numFmtId="167" fontId="33" fillId="14" borderId="1" xfId="3" applyNumberFormat="1" applyFont="1" applyFill="1" applyBorder="1" applyAlignment="1" applyProtection="1">
      <alignment vertical="center"/>
      <protection locked="0"/>
    </xf>
    <xf numFmtId="167" fontId="27" fillId="0" borderId="0" xfId="1" applyNumberFormat="1" applyFont="1"/>
    <xf numFmtId="0" fontId="27" fillId="0" borderId="0" xfId="1" applyFont="1"/>
    <xf numFmtId="0" fontId="3" fillId="0" borderId="51" xfId="1" quotePrefix="1" applyFont="1" applyBorder="1" applyAlignment="1">
      <alignment horizontal="right" vertical="center"/>
    </xf>
    <xf numFmtId="0" fontId="3" fillId="0" borderId="1" xfId="1" applyFont="1" applyBorder="1" applyAlignment="1">
      <alignment vertical="center"/>
    </xf>
    <xf numFmtId="0" fontId="3" fillId="0" borderId="1" xfId="1" applyFont="1" applyBorder="1" applyAlignment="1">
      <alignment horizontal="center" vertical="center"/>
    </xf>
    <xf numFmtId="167" fontId="1" fillId="14" borderId="1" xfId="3" applyNumberFormat="1" applyFont="1" applyFill="1" applyBorder="1" applyAlignment="1" applyProtection="1">
      <alignment vertical="center"/>
      <protection locked="0"/>
    </xf>
    <xf numFmtId="167" fontId="32" fillId="14" borderId="1" xfId="3" applyNumberFormat="1" applyFont="1" applyFill="1" applyBorder="1" applyAlignment="1" applyProtection="1">
      <alignment vertical="center"/>
      <protection locked="0"/>
    </xf>
    <xf numFmtId="3" fontId="34" fillId="0" borderId="0" xfId="0" applyNumberFormat="1" applyFont="1"/>
    <xf numFmtId="167" fontId="1" fillId="0" borderId="0" xfId="3" applyNumberFormat="1" applyFont="1" applyBorder="1" applyAlignment="1" applyProtection="1">
      <alignment vertical="center"/>
      <protection locked="0"/>
    </xf>
    <xf numFmtId="3" fontId="1" fillId="0" borderId="1" xfId="1" applyNumberFormat="1" applyBorder="1" applyAlignment="1">
      <alignment horizontal="right" vertical="center"/>
    </xf>
    <xf numFmtId="167" fontId="1" fillId="0" borderId="22" xfId="1" applyNumberFormat="1" applyBorder="1" applyAlignment="1" applyProtection="1">
      <alignment horizontal="center" vertical="center"/>
      <protection locked="0"/>
    </xf>
    <xf numFmtId="167" fontId="1" fillId="0" borderId="22" xfId="1" applyNumberFormat="1" applyBorder="1" applyAlignment="1">
      <alignment horizontal="center" vertical="center"/>
    </xf>
    <xf numFmtId="43" fontId="1" fillId="11" borderId="1" xfId="1" applyNumberFormat="1" applyFill="1" applyBorder="1" applyAlignment="1" applyProtection="1">
      <alignment horizontal="center" vertical="center"/>
      <protection locked="0"/>
    </xf>
    <xf numFmtId="43" fontId="1" fillId="11" borderId="1" xfId="1" applyNumberFormat="1" applyFill="1" applyBorder="1" applyAlignment="1">
      <alignment horizontal="center" vertical="center"/>
    </xf>
    <xf numFmtId="170" fontId="1" fillId="0" borderId="0" xfId="1" applyNumberFormat="1"/>
    <xf numFmtId="164" fontId="1" fillId="0" borderId="0" xfId="1" applyNumberFormat="1"/>
    <xf numFmtId="9" fontId="1" fillId="0" borderId="0" xfId="1" applyNumberFormat="1"/>
    <xf numFmtId="0" fontId="3" fillId="0" borderId="0" xfId="1" applyFont="1" applyAlignment="1">
      <alignment horizontal="center"/>
    </xf>
    <xf numFmtId="0" fontId="27" fillId="0" borderId="0" xfId="1" applyFont="1" applyAlignment="1">
      <alignment horizontal="left"/>
    </xf>
    <xf numFmtId="0" fontId="25" fillId="0" borderId="0" xfId="1" applyFont="1" applyAlignment="1">
      <alignment horizontal="left"/>
    </xf>
    <xf numFmtId="0" fontId="26" fillId="0" borderId="0" xfId="1" applyFont="1"/>
    <xf numFmtId="0" fontId="3" fillId="10" borderId="44" xfId="1" applyFont="1" applyFill="1" applyBorder="1" applyAlignment="1">
      <alignment horizontal="center" vertical="center"/>
    </xf>
    <xf numFmtId="0" fontId="3" fillId="10" borderId="48" xfId="1" applyFont="1" applyFill="1" applyBorder="1" applyAlignment="1">
      <alignment horizontal="center" vertical="center"/>
    </xf>
    <xf numFmtId="0" fontId="27" fillId="0" borderId="0" xfId="1" applyFont="1" applyAlignment="1">
      <alignment horizontal="center"/>
    </xf>
    <xf numFmtId="0" fontId="1" fillId="0" borderId="0" xfId="1"/>
    <xf numFmtId="0" fontId="26" fillId="0" borderId="47" xfId="1" applyFont="1" applyBorder="1" applyAlignment="1" applyProtection="1">
      <alignment horizontal="center"/>
      <protection locked="0"/>
    </xf>
    <xf numFmtId="0" fontId="7" fillId="8" borderId="36" xfId="0" applyFont="1" applyFill="1" applyBorder="1" applyAlignment="1">
      <alignment horizontal="center" vertical="center" textRotation="90" wrapText="1"/>
    </xf>
    <xf numFmtId="0" fontId="4" fillId="8" borderId="36" xfId="0" applyFont="1" applyFill="1" applyBorder="1" applyAlignment="1">
      <alignment horizontal="center" vertical="center" textRotation="90" wrapText="1"/>
    </xf>
    <xf numFmtId="0" fontId="5" fillId="0" borderId="5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9" borderId="38" xfId="0" applyFill="1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5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4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0" xfId="0" applyBorder="1" applyAlignment="1">
      <alignment horizontal="center"/>
    </xf>
    <xf numFmtId="0" fontId="4" fillId="8" borderId="36" xfId="0" applyFont="1" applyFill="1" applyBorder="1" applyAlignment="1">
      <alignment horizontal="center" vertical="center" wrapText="1"/>
    </xf>
    <xf numFmtId="0" fontId="15" fillId="7" borderId="36" xfId="0" applyFont="1" applyFill="1" applyBorder="1" applyAlignment="1">
      <alignment horizontal="center" vertical="center" textRotation="90" wrapText="1"/>
    </xf>
    <xf numFmtId="0" fontId="6" fillId="8" borderId="36" xfId="0" applyFont="1" applyFill="1" applyBorder="1" applyAlignment="1">
      <alignment horizontal="center" vertical="center" wrapText="1"/>
    </xf>
    <xf numFmtId="0" fontId="18" fillId="8" borderId="33" xfId="0" applyFont="1" applyFill="1" applyBorder="1" applyAlignment="1">
      <alignment horizontal="right" vertical="center" wrapText="1"/>
    </xf>
    <xf numFmtId="0" fontId="18" fillId="8" borderId="34" xfId="0" applyFont="1" applyFill="1" applyBorder="1" applyAlignment="1">
      <alignment horizontal="right" vertical="center" wrapText="1"/>
    </xf>
    <xf numFmtId="0" fontId="24" fillId="0" borderId="34" xfId="0" applyFont="1" applyBorder="1" applyAlignment="1">
      <alignment horizontal="left" vertical="center" wrapText="1"/>
    </xf>
    <xf numFmtId="0" fontId="24" fillId="0" borderId="35" xfId="0" applyFont="1" applyBorder="1" applyAlignment="1">
      <alignment horizontal="left" vertical="center" wrapText="1"/>
    </xf>
    <xf numFmtId="0" fontId="10" fillId="0" borderId="5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9" fillId="0" borderId="18" xfId="1" applyFont="1" applyBorder="1" applyAlignment="1">
      <alignment horizontal="justify" vertical="top" wrapText="1"/>
    </xf>
    <xf numFmtId="0" fontId="9" fillId="0" borderId="1" xfId="1" applyFont="1" applyBorder="1" applyAlignment="1">
      <alignment horizontal="justify" vertical="top" wrapText="1"/>
    </xf>
    <xf numFmtId="17" fontId="9" fillId="0" borderId="1" xfId="1" applyNumberFormat="1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17" fontId="9" fillId="0" borderId="1" xfId="1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12" fillId="7" borderId="8" xfId="1" applyFont="1" applyFill="1" applyBorder="1" applyAlignment="1">
      <alignment horizontal="left" vertical="center"/>
    </xf>
    <xf numFmtId="0" fontId="12" fillId="7" borderId="9" xfId="1" applyFont="1" applyFill="1" applyBorder="1" applyAlignment="1">
      <alignment horizontal="left" vertical="center"/>
    </xf>
    <xf numFmtId="0" fontId="13" fillId="7" borderId="9" xfId="1" applyFont="1" applyFill="1" applyBorder="1" applyAlignment="1">
      <alignment horizontal="center" vertical="center"/>
    </xf>
    <xf numFmtId="0" fontId="13" fillId="7" borderId="10" xfId="1" applyFont="1" applyFill="1" applyBorder="1" applyAlignment="1">
      <alignment horizontal="center" vertical="center"/>
    </xf>
    <xf numFmtId="0" fontId="31" fillId="0" borderId="16" xfId="1" applyFont="1" applyBorder="1" applyAlignment="1">
      <alignment horizontal="center" vertical="center"/>
    </xf>
    <xf numFmtId="0" fontId="31" fillId="0" borderId="17" xfId="1" applyFont="1" applyBorder="1" applyAlignment="1">
      <alignment horizontal="center" vertical="center"/>
    </xf>
    <xf numFmtId="0" fontId="31" fillId="0" borderId="19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7" borderId="8" xfId="1" applyFont="1" applyFill="1" applyBorder="1" applyAlignment="1">
      <alignment horizontal="left" vertical="center"/>
    </xf>
    <xf numFmtId="0" fontId="8" fillId="7" borderId="9" xfId="1" applyFont="1" applyFill="1" applyBorder="1" applyAlignment="1">
      <alignment horizontal="left" vertical="center"/>
    </xf>
    <xf numFmtId="0" fontId="8" fillId="7" borderId="10" xfId="1" applyFont="1" applyFill="1" applyBorder="1" applyAlignment="1">
      <alignment horizontal="left" vertical="center"/>
    </xf>
    <xf numFmtId="0" fontId="8" fillId="7" borderId="18" xfId="1" applyFont="1" applyFill="1" applyBorder="1" applyAlignment="1">
      <alignment horizontal="left" vertical="center"/>
    </xf>
    <xf numFmtId="0" fontId="8" fillId="7" borderId="1" xfId="1" applyFont="1" applyFill="1" applyBorder="1" applyAlignment="1">
      <alignment horizontal="left" vertical="center"/>
    </xf>
    <xf numFmtId="0" fontId="10" fillId="7" borderId="1" xfId="1" applyFont="1" applyFill="1" applyBorder="1" applyAlignment="1">
      <alignment horizontal="left" vertical="center"/>
    </xf>
    <xf numFmtId="0" fontId="10" fillId="7" borderId="22" xfId="1" applyFont="1" applyFill="1" applyBorder="1" applyAlignment="1">
      <alignment horizontal="left" vertical="center"/>
    </xf>
    <xf numFmtId="0" fontId="10" fillId="7" borderId="29" xfId="1" applyFont="1" applyFill="1" applyBorder="1" applyAlignment="1">
      <alignment horizontal="left" vertical="center"/>
    </xf>
    <xf numFmtId="0" fontId="8" fillId="7" borderId="11" xfId="1" applyFont="1" applyFill="1" applyBorder="1" applyAlignment="1">
      <alignment horizontal="left" vertical="center"/>
    </xf>
    <xf numFmtId="0" fontId="8" fillId="7" borderId="12" xfId="1" applyFont="1" applyFill="1" applyBorder="1" applyAlignment="1">
      <alignment horizontal="left" vertical="center"/>
    </xf>
    <xf numFmtId="2" fontId="10" fillId="7" borderId="31" xfId="1" applyNumberFormat="1" applyFont="1" applyFill="1" applyBorder="1" applyAlignment="1">
      <alignment horizontal="left" vertical="center"/>
    </xf>
    <xf numFmtId="2" fontId="10" fillId="7" borderId="17" xfId="1" applyNumberFormat="1" applyFont="1" applyFill="1" applyBorder="1" applyAlignment="1">
      <alignment horizontal="left" vertical="center"/>
    </xf>
    <xf numFmtId="2" fontId="10" fillId="7" borderId="19" xfId="1" applyNumberFormat="1" applyFont="1" applyFill="1" applyBorder="1" applyAlignment="1">
      <alignment horizontal="left" vertical="center"/>
    </xf>
    <xf numFmtId="0" fontId="14" fillId="2" borderId="8" xfId="1" applyFont="1" applyFill="1" applyBorder="1" applyAlignment="1">
      <alignment horizontal="center" vertical="center" wrapText="1"/>
    </xf>
    <xf numFmtId="0" fontId="14" fillId="2" borderId="9" xfId="1" applyFont="1" applyFill="1" applyBorder="1" applyAlignment="1">
      <alignment horizontal="center" vertical="center" wrapText="1"/>
    </xf>
    <xf numFmtId="0" fontId="14" fillId="2" borderId="18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4" fillId="2" borderId="9" xfId="1" applyFont="1" applyFill="1" applyBorder="1" applyAlignment="1">
      <alignment horizontal="center" vertical="center" textRotation="90" wrapText="1"/>
    </xf>
    <xf numFmtId="0" fontId="14" fillId="2" borderId="1" xfId="1" applyFont="1" applyFill="1" applyBorder="1" applyAlignment="1">
      <alignment horizontal="center" vertical="center" textRotation="90" wrapText="1"/>
    </xf>
    <xf numFmtId="0" fontId="14" fillId="2" borderId="9" xfId="1" applyFont="1" applyFill="1" applyBorder="1" applyAlignment="1">
      <alignment horizontal="center" vertical="center"/>
    </xf>
    <xf numFmtId="0" fontId="14" fillId="2" borderId="10" xfId="1" applyFont="1" applyFill="1" applyBorder="1" applyAlignment="1">
      <alignment horizontal="center" vertical="center"/>
    </xf>
    <xf numFmtId="0" fontId="14" fillId="2" borderId="15" xfId="1" applyFont="1" applyFill="1" applyBorder="1" applyAlignment="1">
      <alignment horizontal="center" vertical="center" wrapText="1"/>
    </xf>
    <xf numFmtId="0" fontId="8" fillId="7" borderId="44" xfId="1" applyFont="1" applyFill="1" applyBorder="1" applyAlignment="1">
      <alignment horizontal="left" vertical="center"/>
    </xf>
    <xf numFmtId="0" fontId="8" fillId="7" borderId="45" xfId="1" applyFont="1" applyFill="1" applyBorder="1" applyAlignment="1">
      <alignment horizontal="left" vertical="center"/>
    </xf>
    <xf numFmtId="0" fontId="8" fillId="7" borderId="46" xfId="1" applyFont="1" applyFill="1" applyBorder="1" applyAlignment="1">
      <alignment horizontal="left" vertical="center"/>
    </xf>
    <xf numFmtId="0" fontId="9" fillId="7" borderId="11" xfId="1" applyFont="1" applyFill="1" applyBorder="1" applyAlignment="1">
      <alignment horizontal="justify" vertical="top" wrapText="1"/>
    </xf>
    <xf numFmtId="0" fontId="9" fillId="7" borderId="12" xfId="1" applyFont="1" applyFill="1" applyBorder="1" applyAlignment="1">
      <alignment horizontal="justify" vertical="top" wrapText="1"/>
    </xf>
    <xf numFmtId="0" fontId="14" fillId="0" borderId="30" xfId="1" applyFont="1" applyBorder="1" applyAlignment="1">
      <alignment horizontal="center" vertical="center" wrapText="1"/>
    </xf>
    <xf numFmtId="0" fontId="14" fillId="0" borderId="31" xfId="1" applyFont="1" applyBorder="1" applyAlignment="1">
      <alignment horizontal="center" vertical="center" wrapText="1"/>
    </xf>
    <xf numFmtId="0" fontId="14" fillId="0" borderId="32" xfId="1" applyFont="1" applyBorder="1" applyAlignment="1">
      <alignment horizontal="center" vertical="center" wrapText="1"/>
    </xf>
    <xf numFmtId="0" fontId="10" fillId="3" borderId="24" xfId="1" applyFont="1" applyFill="1" applyBorder="1" applyAlignment="1">
      <alignment horizontal="center" vertical="center"/>
    </xf>
    <xf numFmtId="0" fontId="10" fillId="3" borderId="28" xfId="1" applyFont="1" applyFill="1" applyBorder="1" applyAlignment="1">
      <alignment horizontal="center" vertical="center"/>
    </xf>
    <xf numFmtId="0" fontId="10" fillId="7" borderId="16" xfId="1" applyFont="1" applyFill="1" applyBorder="1" applyAlignment="1">
      <alignment horizontal="center" vertical="center"/>
    </xf>
    <xf numFmtId="0" fontId="10" fillId="7" borderId="17" xfId="1" applyFont="1" applyFill="1" applyBorder="1" applyAlignment="1">
      <alignment horizontal="center" vertical="center"/>
    </xf>
    <xf numFmtId="0" fontId="10" fillId="7" borderId="19" xfId="1" applyFont="1" applyFill="1" applyBorder="1" applyAlignment="1">
      <alignment horizontal="center" vertical="center"/>
    </xf>
    <xf numFmtId="0" fontId="10" fillId="7" borderId="5" xfId="1" applyFont="1" applyFill="1" applyBorder="1" applyAlignment="1">
      <alignment horizontal="left" vertical="center" wrapText="1"/>
    </xf>
    <xf numFmtId="0" fontId="10" fillId="7" borderId="6" xfId="1" applyFont="1" applyFill="1" applyBorder="1" applyAlignment="1">
      <alignment horizontal="left" vertical="center" wrapText="1"/>
    </xf>
    <xf numFmtId="0" fontId="10" fillId="7" borderId="7" xfId="1" applyFont="1" applyFill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 wrapText="1"/>
    </xf>
    <xf numFmtId="0" fontId="9" fillId="0" borderId="17" xfId="1" applyFont="1" applyBorder="1" applyAlignment="1">
      <alignment horizontal="left" vertical="center" wrapText="1"/>
    </xf>
    <xf numFmtId="0" fontId="9" fillId="0" borderId="19" xfId="1" applyFont="1" applyBorder="1" applyAlignment="1">
      <alignment horizontal="left" vertical="center" wrapText="1"/>
    </xf>
    <xf numFmtId="0" fontId="10" fillId="7" borderId="5" xfId="1" applyFont="1" applyFill="1" applyBorder="1" applyAlignment="1">
      <alignment horizontal="left" vertical="center"/>
    </xf>
    <xf numFmtId="0" fontId="10" fillId="7" borderId="6" xfId="1" applyFont="1" applyFill="1" applyBorder="1" applyAlignment="1">
      <alignment horizontal="left" vertical="center"/>
    </xf>
    <xf numFmtId="0" fontId="10" fillId="7" borderId="7" xfId="1" applyFont="1" applyFill="1" applyBorder="1" applyAlignment="1">
      <alignment horizontal="left" vertical="center"/>
    </xf>
    <xf numFmtId="0" fontId="10" fillId="2" borderId="8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0" fontId="10" fillId="2" borderId="18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8" fillId="9" borderId="6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8" fillId="7" borderId="3" xfId="1" applyFont="1" applyFill="1" applyBorder="1" applyAlignment="1">
      <alignment horizontal="center" vertical="center"/>
    </xf>
    <xf numFmtId="0" fontId="8" fillId="7" borderId="4" xfId="1" applyFont="1" applyFill="1" applyBorder="1" applyAlignment="1">
      <alignment horizontal="center" vertical="center"/>
    </xf>
    <xf numFmtId="9" fontId="10" fillId="7" borderId="25" xfId="1" applyNumberFormat="1" applyFont="1" applyFill="1" applyBorder="1" applyAlignment="1">
      <alignment horizontal="center" vertical="center"/>
    </xf>
    <xf numFmtId="0" fontId="10" fillId="7" borderId="26" xfId="1" applyFont="1" applyFill="1" applyBorder="1" applyAlignment="1">
      <alignment horizontal="center" vertical="center"/>
    </xf>
    <xf numFmtId="0" fontId="10" fillId="7" borderId="27" xfId="1" applyFont="1" applyFill="1" applyBorder="1" applyAlignment="1">
      <alignment horizontal="center" vertical="center"/>
    </xf>
    <xf numFmtId="0" fontId="8" fillId="0" borderId="18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11" fillId="7" borderId="26" xfId="1" applyFont="1" applyFill="1" applyBorder="1" applyAlignment="1">
      <alignment horizontal="center" vertical="center"/>
    </xf>
    <xf numFmtId="0" fontId="11" fillId="7" borderId="27" xfId="1" applyFont="1" applyFill="1" applyBorder="1" applyAlignment="1">
      <alignment horizontal="center" vertical="center"/>
    </xf>
    <xf numFmtId="0" fontId="14" fillId="6" borderId="18" xfId="1" applyFont="1" applyFill="1" applyBorder="1" applyAlignment="1">
      <alignment horizontal="left" vertical="center"/>
    </xf>
    <xf numFmtId="0" fontId="14" fillId="6" borderId="1" xfId="1" applyFont="1" applyFill="1" applyBorder="1" applyAlignment="1">
      <alignment horizontal="left" vertical="center"/>
    </xf>
    <xf numFmtId="0" fontId="14" fillId="7" borderId="18" xfId="1" applyFont="1" applyFill="1" applyBorder="1" applyAlignment="1">
      <alignment horizontal="center" vertical="center" textRotation="90"/>
    </xf>
    <xf numFmtId="0" fontId="14" fillId="7" borderId="11" xfId="1" applyFont="1" applyFill="1" applyBorder="1" applyAlignment="1">
      <alignment horizontal="center" vertical="center" textRotation="90"/>
    </xf>
    <xf numFmtId="0" fontId="10" fillId="7" borderId="8" xfId="1" applyFont="1" applyFill="1" applyBorder="1" applyAlignment="1">
      <alignment horizontal="center" vertical="center" wrapText="1"/>
    </xf>
    <xf numFmtId="0" fontId="10" fillId="7" borderId="9" xfId="1" applyFont="1" applyFill="1" applyBorder="1" applyAlignment="1">
      <alignment horizontal="center" vertical="center" wrapText="1"/>
    </xf>
    <xf numFmtId="0" fontId="10" fillId="7" borderId="23" xfId="1" applyFont="1" applyFill="1" applyBorder="1" applyAlignment="1">
      <alignment horizontal="center" vertical="center" wrapText="1"/>
    </xf>
    <xf numFmtId="0" fontId="10" fillId="7" borderId="11" xfId="1" applyFont="1" applyFill="1" applyBorder="1" applyAlignment="1">
      <alignment horizontal="center" vertical="center" wrapText="1"/>
    </xf>
    <xf numFmtId="0" fontId="10" fillId="7" borderId="12" xfId="1" applyFont="1" applyFill="1" applyBorder="1" applyAlignment="1">
      <alignment horizontal="center" vertical="center" wrapText="1"/>
    </xf>
    <xf numFmtId="0" fontId="10" fillId="5" borderId="24" xfId="1" applyFont="1" applyFill="1" applyBorder="1" applyAlignment="1">
      <alignment horizontal="center" vertical="center"/>
    </xf>
    <xf numFmtId="0" fontId="10" fillId="4" borderId="24" xfId="1" applyFont="1" applyFill="1" applyBorder="1" applyAlignment="1">
      <alignment horizontal="center" vertical="center"/>
    </xf>
    <xf numFmtId="0" fontId="10" fillId="7" borderId="15" xfId="1" applyFont="1" applyFill="1" applyBorder="1" applyAlignment="1">
      <alignment horizontal="left" vertical="center"/>
    </xf>
    <xf numFmtId="9" fontId="10" fillId="7" borderId="2" xfId="1" applyNumberFormat="1" applyFont="1" applyFill="1" applyBorder="1" applyAlignment="1">
      <alignment horizontal="center" vertical="center" wrapText="1"/>
    </xf>
    <xf numFmtId="0" fontId="11" fillId="7" borderId="3" xfId="1" applyFont="1" applyFill="1" applyBorder="1" applyAlignment="1">
      <alignment horizontal="center" vertical="center" wrapText="1"/>
    </xf>
    <xf numFmtId="0" fontId="11" fillId="7" borderId="4" xfId="1" applyFont="1" applyFill="1" applyBorder="1" applyAlignment="1">
      <alignment horizontal="center" vertical="center" wrapText="1"/>
    </xf>
    <xf numFmtId="2" fontId="10" fillId="7" borderId="32" xfId="1" applyNumberFormat="1" applyFont="1" applyFill="1" applyBorder="1" applyAlignment="1">
      <alignment horizontal="left" vertical="center"/>
    </xf>
    <xf numFmtId="0" fontId="8" fillId="7" borderId="5" xfId="1" applyFont="1" applyFill="1" applyBorder="1" applyAlignment="1">
      <alignment horizontal="center" vertical="center"/>
    </xf>
    <xf numFmtId="0" fontId="8" fillId="7" borderId="6" xfId="1" applyFont="1" applyFill="1" applyBorder="1" applyAlignment="1">
      <alignment horizontal="center" vertical="center"/>
    </xf>
    <xf numFmtId="0" fontId="8" fillId="7" borderId="7" xfId="1" applyFont="1" applyFill="1" applyBorder="1" applyAlignment="1">
      <alignment horizontal="center" vertical="center"/>
    </xf>
    <xf numFmtId="9" fontId="10" fillId="7" borderId="25" xfId="1" applyNumberFormat="1" applyFont="1" applyFill="1" applyBorder="1" applyAlignment="1">
      <alignment horizontal="center" vertical="center" wrapText="1"/>
    </xf>
    <xf numFmtId="0" fontId="10" fillId="7" borderId="26" xfId="1" applyFont="1" applyFill="1" applyBorder="1" applyAlignment="1">
      <alignment horizontal="center" vertical="center" wrapText="1"/>
    </xf>
    <xf numFmtId="0" fontId="10" fillId="7" borderId="27" xfId="1" applyFont="1" applyFill="1" applyBorder="1" applyAlignment="1">
      <alignment horizontal="center" vertical="center" wrapText="1"/>
    </xf>
    <xf numFmtId="0" fontId="9" fillId="0" borderId="11" xfId="1" applyFont="1" applyBorder="1" applyAlignment="1">
      <alignment horizontal="justify" vertical="top" wrapText="1"/>
    </xf>
    <xf numFmtId="0" fontId="9" fillId="0" borderId="12" xfId="1" applyFont="1" applyBorder="1" applyAlignment="1">
      <alignment horizontal="justify" vertical="top" wrapText="1"/>
    </xf>
    <xf numFmtId="0" fontId="0" fillId="0" borderId="13" xfId="0" applyBorder="1" applyAlignment="1">
      <alignment horizontal="justify" vertical="top" wrapText="1"/>
    </xf>
    <xf numFmtId="0" fontId="9" fillId="7" borderId="11" xfId="1" applyFont="1" applyFill="1" applyBorder="1" applyAlignment="1">
      <alignment horizontal="left" vertical="top" wrapText="1"/>
    </xf>
    <xf numFmtId="0" fontId="9" fillId="7" borderId="12" xfId="1" applyFont="1" applyFill="1" applyBorder="1" applyAlignment="1">
      <alignment horizontal="left" vertical="top" wrapText="1"/>
    </xf>
    <xf numFmtId="0" fontId="10" fillId="7" borderId="14" xfId="1" applyFont="1" applyFill="1" applyBorder="1" applyAlignment="1">
      <alignment horizontal="left" vertical="center"/>
    </xf>
    <xf numFmtId="0" fontId="10" fillId="7" borderId="0" xfId="1" applyFont="1" applyFill="1" applyAlignment="1">
      <alignment horizontal="left" vertical="center"/>
    </xf>
    <xf numFmtId="0" fontId="10" fillId="7" borderId="20" xfId="1" applyFont="1" applyFill="1" applyBorder="1" applyAlignment="1">
      <alignment horizontal="left" vertical="center"/>
    </xf>
    <xf numFmtId="1" fontId="10" fillId="7" borderId="25" xfId="1" applyNumberFormat="1" applyFont="1" applyFill="1" applyBorder="1" applyAlignment="1">
      <alignment horizontal="center" vertical="center"/>
    </xf>
    <xf numFmtId="1" fontId="10" fillId="7" borderId="26" xfId="1" applyNumberFormat="1" applyFont="1" applyFill="1" applyBorder="1" applyAlignment="1">
      <alignment horizontal="center" vertical="center"/>
    </xf>
    <xf numFmtId="1" fontId="10" fillId="7" borderId="27" xfId="1" applyNumberFormat="1" applyFont="1" applyFill="1" applyBorder="1" applyAlignment="1">
      <alignment horizontal="center" vertical="center"/>
    </xf>
    <xf numFmtId="0" fontId="14" fillId="7" borderId="21" xfId="1" applyFont="1" applyFill="1" applyBorder="1" applyAlignment="1">
      <alignment horizontal="center" vertical="center" textRotation="90"/>
    </xf>
    <xf numFmtId="0" fontId="9" fillId="7" borderId="30" xfId="1" applyFont="1" applyFill="1" applyBorder="1" applyAlignment="1">
      <alignment horizontal="justify" vertical="top" wrapText="1"/>
    </xf>
    <xf numFmtId="0" fontId="9" fillId="7" borderId="43" xfId="1" applyFont="1" applyFill="1" applyBorder="1" applyAlignment="1">
      <alignment horizontal="justify" vertical="top" wrapText="1"/>
    </xf>
    <xf numFmtId="0" fontId="0" fillId="0" borderId="43" xfId="0" applyBorder="1" applyAlignment="1">
      <alignment horizontal="justify" vertical="top"/>
    </xf>
    <xf numFmtId="0" fontId="15" fillId="0" borderId="5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55" xfId="0" applyFont="1" applyBorder="1" applyAlignment="1">
      <alignment horizontal="center" vertical="center"/>
    </xf>
    <xf numFmtId="0" fontId="5" fillId="0" borderId="55" xfId="0" applyFont="1" applyBorder="1" applyAlignment="1">
      <alignment horizontal="center" vertical="center"/>
    </xf>
    <xf numFmtId="0" fontId="21" fillId="0" borderId="53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55" xfId="0" applyFont="1" applyBorder="1" applyAlignment="1">
      <alignment horizontal="center" vertical="center"/>
    </xf>
    <xf numFmtId="0" fontId="30" fillId="0" borderId="5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55" xfId="0" applyFont="1" applyBorder="1" applyAlignment="1">
      <alignment horizontal="center" vertical="center"/>
    </xf>
    <xf numFmtId="0" fontId="9" fillId="0" borderId="14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20" xfId="1" applyFont="1" applyBorder="1" applyAlignment="1">
      <alignment horizontal="center" vertical="center"/>
    </xf>
  </cellXfs>
  <cellStyles count="10">
    <cellStyle name="Millares" xfId="9" builtinId="3"/>
    <cellStyle name="Millares 2" xfId="6" xr:uid="{00000000-0005-0000-0000-000001000000}"/>
    <cellStyle name="Millares_Tablero de Indicadores" xfId="3" xr:uid="{00000000-0005-0000-0000-000002000000}"/>
    <cellStyle name="Normal" xfId="0" builtinId="0"/>
    <cellStyle name="Normal 2" xfId="1" xr:uid="{00000000-0005-0000-0000-000004000000}"/>
    <cellStyle name="Normal 7" xfId="5" xr:uid="{00000000-0005-0000-0000-000005000000}"/>
    <cellStyle name="Normal 8" xfId="8" xr:uid="{00000000-0005-0000-0000-000006000000}"/>
    <cellStyle name="Normal 9" xfId="7" xr:uid="{00000000-0005-0000-0000-000007000000}"/>
    <cellStyle name="Porcentaje" xfId="2" builtinId="5"/>
    <cellStyle name="Porcentaje 2" xfId="4" xr:uid="{00000000-0005-0000-0000-000009000000}"/>
  </cellStyles>
  <dxfs count="27"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'01'!$A$18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'01'!$C$16:$N$16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'01'!$C$18:$N$18</c:f>
              <c:numCache>
                <c:formatCode>0%</c:formatCode>
                <c:ptCount val="12"/>
                <c:pt idx="0">
                  <c:v>0.85</c:v>
                </c:pt>
                <c:pt idx="1">
                  <c:v>0.85</c:v>
                </c:pt>
                <c:pt idx="2">
                  <c:v>0.85</c:v>
                </c:pt>
                <c:pt idx="3">
                  <c:v>0.85</c:v>
                </c:pt>
                <c:pt idx="4">
                  <c:v>0.85</c:v>
                </c:pt>
                <c:pt idx="5">
                  <c:v>0.85</c:v>
                </c:pt>
                <c:pt idx="6">
                  <c:v>0.85</c:v>
                </c:pt>
                <c:pt idx="7">
                  <c:v>0.85</c:v>
                </c:pt>
                <c:pt idx="8">
                  <c:v>0.85</c:v>
                </c:pt>
                <c:pt idx="9">
                  <c:v>0.85</c:v>
                </c:pt>
                <c:pt idx="10">
                  <c:v>0.85</c:v>
                </c:pt>
                <c:pt idx="11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94-4FBB-B546-722671CF02AB}"/>
            </c:ext>
          </c:extLst>
        </c:ser>
        <c:ser>
          <c:idx val="1"/>
          <c:order val="1"/>
          <c:tx>
            <c:strRef>
              <c:f>'01'!$A$19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'01'!$C$16:$N$16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'01'!$C$19:$N$19</c:f>
              <c:numCache>
                <c:formatCode>0.0%</c:formatCode>
                <c:ptCount val="12"/>
                <c:pt idx="0">
                  <c:v>0.79128997038958748</c:v>
                </c:pt>
                <c:pt idx="1">
                  <c:v>0.84396313975296855</c:v>
                </c:pt>
                <c:pt idx="2">
                  <c:v>0.78726940478465612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0.75859150881416448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94-4FBB-B546-722671CF02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7564416"/>
        <c:axId val="147565952"/>
      </c:lineChart>
      <c:catAx>
        <c:axId val="147564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147565952"/>
        <c:crosses val="autoZero"/>
        <c:auto val="1"/>
        <c:lblAlgn val="ctr"/>
        <c:lblOffset val="100"/>
        <c:noMultiLvlLbl val="0"/>
      </c:catAx>
      <c:valAx>
        <c:axId val="14756595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14756441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866" l="0.70000000000000062" r="0.70000000000000062" t="0.75000000000000866" header="0.30000000000000032" footer="0.30000000000000032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'10'!$A$18</c:f>
              <c:strCache>
                <c:ptCount val="1"/>
                <c:pt idx="0">
                  <c:v>META  AÑO 2021</c:v>
                </c:pt>
              </c:strCache>
            </c:strRef>
          </c:tx>
          <c:marker>
            <c:symbol val="none"/>
          </c:marker>
          <c:cat>
            <c:strRef>
              <c:f>'10'!$C$16:$N$16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'10'!$C$18:$N$18</c:f>
              <c:numCache>
                <c:formatCode>0.0%</c:formatCode>
                <c:ptCount val="12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05-4272-BAF0-CB86EA4C451B}"/>
            </c:ext>
          </c:extLst>
        </c:ser>
        <c:ser>
          <c:idx val="1"/>
          <c:order val="1"/>
          <c:tx>
            <c:strRef>
              <c:f>'10'!$A$19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'10'!$C$16:$N$16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'10'!$C$19:$N$19</c:f>
              <c:numCache>
                <c:formatCode>0.0%</c:formatCode>
                <c:ptCount val="12"/>
                <c:pt idx="0">
                  <c:v>0.53617641698560237</c:v>
                </c:pt>
                <c:pt idx="1">
                  <c:v>0.33127753303964758</c:v>
                </c:pt>
                <c:pt idx="2">
                  <c:v>0.52963985049079543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0.5074739829706717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05-4272-BAF0-CB86EA4C4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358272"/>
        <c:axId val="300614016"/>
      </c:lineChart>
      <c:catAx>
        <c:axId val="3003582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300614016"/>
        <c:crosses val="autoZero"/>
        <c:auto val="1"/>
        <c:lblAlgn val="ctr"/>
        <c:lblOffset val="100"/>
        <c:noMultiLvlLbl val="0"/>
      </c:catAx>
      <c:valAx>
        <c:axId val="300614016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30035827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888" l="0.70000000000000062" r="0.70000000000000062" t="0.75000000000000888" header="0.30000000000000032" footer="0.30000000000000032"/>
    <c:pageSetup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0882495744563123E-2"/>
          <c:y val="7.0393528677767742E-2"/>
          <c:w val="0.73457881090203481"/>
          <c:h val="0.7764223570414357"/>
        </c:manualLayout>
      </c:layout>
      <c:lineChart>
        <c:grouping val="standard"/>
        <c:varyColors val="0"/>
        <c:ser>
          <c:idx val="0"/>
          <c:order val="0"/>
          <c:tx>
            <c:strRef>
              <c:f>'11'!$A$18</c:f>
              <c:strCache>
                <c:ptCount val="1"/>
                <c:pt idx="0">
                  <c:v>META  AÑO 2021</c:v>
                </c:pt>
              </c:strCache>
            </c:strRef>
          </c:tx>
          <c:marker>
            <c:symbol val="none"/>
          </c:marker>
          <c:cat>
            <c:strRef>
              <c:f>'11'!$C$16:$N$16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'11'!$C$18:$N$18</c:f>
              <c:numCache>
                <c:formatCode>0%</c:formatCode>
                <c:ptCount val="12"/>
                <c:pt idx="0">
                  <c:v>0.99</c:v>
                </c:pt>
                <c:pt idx="1">
                  <c:v>0.99</c:v>
                </c:pt>
                <c:pt idx="2">
                  <c:v>0.99</c:v>
                </c:pt>
                <c:pt idx="3">
                  <c:v>0.99</c:v>
                </c:pt>
                <c:pt idx="4">
                  <c:v>0.99</c:v>
                </c:pt>
                <c:pt idx="5">
                  <c:v>0.99</c:v>
                </c:pt>
                <c:pt idx="6">
                  <c:v>0.99</c:v>
                </c:pt>
                <c:pt idx="7">
                  <c:v>0.99</c:v>
                </c:pt>
                <c:pt idx="8">
                  <c:v>0.99</c:v>
                </c:pt>
                <c:pt idx="9">
                  <c:v>0.99</c:v>
                </c:pt>
                <c:pt idx="10">
                  <c:v>0.99</c:v>
                </c:pt>
                <c:pt idx="11">
                  <c:v>0.99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F4-4509-8AFE-98D0A637BB63}"/>
            </c:ext>
          </c:extLst>
        </c:ser>
        <c:ser>
          <c:idx val="1"/>
          <c:order val="1"/>
          <c:tx>
            <c:strRef>
              <c:f>'11'!$A$19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'11'!$C$16:$N$16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'11'!$C$19:$N$19</c:f>
              <c:numCache>
                <c:formatCode>0.0%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F4-4509-8AFE-98D0A637B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742528"/>
        <c:axId val="300744064"/>
      </c:lineChart>
      <c:catAx>
        <c:axId val="3007425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300744064"/>
        <c:crosses val="autoZero"/>
        <c:auto val="1"/>
        <c:lblAlgn val="ctr"/>
        <c:lblOffset val="100"/>
        <c:noMultiLvlLbl val="0"/>
      </c:catAx>
      <c:valAx>
        <c:axId val="30074406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30074252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91" l="0.70000000000000062" r="0.70000000000000062" t="0.7500000000000091" header="0.30000000000000032" footer="0.30000000000000032"/>
    <c:pageSetup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'12'!$A$18</c:f>
              <c:strCache>
                <c:ptCount val="1"/>
                <c:pt idx="0">
                  <c:v>META  AÑO 2021</c:v>
                </c:pt>
              </c:strCache>
            </c:strRef>
          </c:tx>
          <c:marker>
            <c:symbol val="none"/>
          </c:marker>
          <c:cat>
            <c:strRef>
              <c:f>'12'!$C$16:$N$16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'12'!$C$18:$N$18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E2-44BC-B74D-854D86C8F105}"/>
            </c:ext>
          </c:extLst>
        </c:ser>
        <c:ser>
          <c:idx val="1"/>
          <c:order val="1"/>
          <c:tx>
            <c:strRef>
              <c:f>'12'!$A$19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'12'!$C$16:$N$16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'12'!$C$19:$N$19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E2-44BC-B74D-854D86C8F1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778624"/>
        <c:axId val="300780160"/>
      </c:lineChart>
      <c:catAx>
        <c:axId val="300778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300780160"/>
        <c:crosses val="autoZero"/>
        <c:auto val="1"/>
        <c:lblAlgn val="ctr"/>
        <c:lblOffset val="100"/>
        <c:noMultiLvlLbl val="0"/>
      </c:catAx>
      <c:valAx>
        <c:axId val="300780160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30077862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933" l="0.70000000000000062" r="0.70000000000000062" t="0.75000000000000933" header="0.30000000000000032" footer="0.30000000000000032"/>
    <c:pageSetup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'13'!$A$18</c:f>
              <c:strCache>
                <c:ptCount val="1"/>
                <c:pt idx="0">
                  <c:v>META  AÑO 2021</c:v>
                </c:pt>
              </c:strCache>
            </c:strRef>
          </c:tx>
          <c:marker>
            <c:symbol val="none"/>
          </c:marker>
          <c:cat>
            <c:strRef>
              <c:f>'13'!$C$16:$N$16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'13'!$C$18:$N$18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12-4D72-B9D2-60AABAA1BC46}"/>
            </c:ext>
          </c:extLst>
        </c:ser>
        <c:ser>
          <c:idx val="1"/>
          <c:order val="1"/>
          <c:tx>
            <c:strRef>
              <c:f>'13'!$A$19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'13'!$C$16:$N$16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'13'!$C$19:$N$19</c:f>
              <c:numCache>
                <c:formatCode>0.0%</c:formatCode>
                <c:ptCount val="12"/>
                <c:pt idx="0">
                  <c:v>2.7027027027027029E-3</c:v>
                </c:pt>
                <c:pt idx="1">
                  <c:v>2.7051397655545538E-3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2.6666666666666666E-3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12-4D72-B9D2-60AABAA1BC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1453696"/>
        <c:axId val="301455232"/>
      </c:lineChart>
      <c:catAx>
        <c:axId val="3014536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301455232"/>
        <c:crosses val="autoZero"/>
        <c:auto val="1"/>
        <c:lblAlgn val="ctr"/>
        <c:lblOffset val="100"/>
        <c:noMultiLvlLbl val="0"/>
      </c:catAx>
      <c:valAx>
        <c:axId val="30145523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30145369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977" l="0.70000000000000062" r="0.70000000000000062" t="0.75000000000000977" header="0.30000000000000032" footer="0.30000000000000032"/>
    <c:pageSetup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'14'!$A$18</c:f>
              <c:strCache>
                <c:ptCount val="1"/>
                <c:pt idx="0">
                  <c:v>META  AÑO 2021</c:v>
                </c:pt>
              </c:strCache>
            </c:strRef>
          </c:tx>
          <c:marker>
            <c:symbol val="none"/>
          </c:marker>
          <c:cat>
            <c:strRef>
              <c:f>'14'!$C$16:$N$16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'14'!$C$18:$N$18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EF-46B8-AE3F-91A3EE710F03}"/>
            </c:ext>
          </c:extLst>
        </c:ser>
        <c:ser>
          <c:idx val="1"/>
          <c:order val="1"/>
          <c:tx>
            <c:strRef>
              <c:f>'14'!$A$19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'14'!$C$16:$N$16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'14'!$C$19:$N$19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0.9511343804537522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EF-46B8-AE3F-91A3EE710F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2062976"/>
        <c:axId val="302068864"/>
      </c:lineChart>
      <c:catAx>
        <c:axId val="302062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302068864"/>
        <c:crosses val="autoZero"/>
        <c:auto val="1"/>
        <c:lblAlgn val="ctr"/>
        <c:lblOffset val="100"/>
        <c:noMultiLvlLbl val="0"/>
      </c:catAx>
      <c:valAx>
        <c:axId val="302068864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30206297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955" l="0.70000000000000062" r="0.70000000000000062" t="0.75000000000000955" header="0.30000000000000032" footer="0.30000000000000032"/>
    <c:pageSetup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34"/>
    </mc:Choice>
    <mc:Fallback>
      <c:style val="34"/>
    </mc:Fallback>
  </mc:AlternateContent>
  <c:chart>
    <c:autoTitleDeleted val="0"/>
    <c:view3D>
      <c:rotX val="66"/>
      <c:hPercent val="57"/>
      <c:rotY val="39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56255841259646E-2"/>
          <c:y val="1.049871457388701E-2"/>
          <c:w val="0.91718819975904553"/>
          <c:h val="0.85826991641526362"/>
        </c:manualLayout>
      </c:layout>
      <c:bar3DChart>
        <c:barDir val="col"/>
        <c:grouping val="standard"/>
        <c:varyColors val="0"/>
        <c:ser>
          <c:idx val="0"/>
          <c:order val="0"/>
          <c:tx>
            <c:v>Acueducto</c:v>
          </c:tx>
          <c:invertIfNegative val="0"/>
          <c:dLbls>
            <c:dLbl>
              <c:idx val="0"/>
              <c:layout>
                <c:manualLayout>
                  <c:x val="3.1626562159270811E-3"/>
                  <c:y val="-0.10362318148700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C6-4B4E-9E81-1A5E1F193F05}"/>
                </c:ext>
              </c:extLst>
            </c:dLbl>
            <c:dLbl>
              <c:idx val="1"/>
              <c:layout>
                <c:manualLayout>
                  <c:x val="7.7893490880024093E-3"/>
                  <c:y val="-8.7875109626168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C6-4B4E-9E81-1A5E1F193F05}"/>
                </c:ext>
              </c:extLst>
            </c:dLbl>
            <c:dLbl>
              <c:idx val="2"/>
              <c:layout>
                <c:manualLayout>
                  <c:x val="9.2910395758895748E-3"/>
                  <c:y val="-8.7875109626168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C6-4B4E-9E81-1A5E1F193F05}"/>
                </c:ext>
              </c:extLst>
            </c:dLbl>
            <c:dLbl>
              <c:idx val="3"/>
              <c:layout>
                <c:manualLayout>
                  <c:x val="7.6677276795890596E-3"/>
                  <c:y val="-0.10362318148700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C6-4B4E-9E81-1A5E1F193F05}"/>
                </c:ext>
              </c:extLst>
            </c:dLbl>
            <c:dLbl>
              <c:idx val="4"/>
              <c:layout>
                <c:manualLayout>
                  <c:x val="9.1694181674763526E-3"/>
                  <c:y val="-8.7875109626168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C6-4B4E-9E81-1A5E1F193F05}"/>
                </c:ext>
              </c:extLst>
            </c:dLbl>
            <c:dLbl>
              <c:idx val="5"/>
              <c:layout>
                <c:manualLayout>
                  <c:x val="1.3796111039551327E-2"/>
                  <c:y val="-8.5250430982700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C6-4B4E-9E81-1A5E1F193F05}"/>
                </c:ext>
              </c:extLst>
            </c:dLbl>
            <c:dLbl>
              <c:idx val="6"/>
              <c:layout>
                <c:manualLayout>
                  <c:x val="1.5297965569433402E-2"/>
                  <c:y val="-8.5250430982700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C6-4B4E-9E81-1A5E1F193F05}"/>
                </c:ext>
              </c:extLst>
            </c:dLbl>
            <c:dLbl>
              <c:idx val="7"/>
              <c:layout>
                <c:manualLayout>
                  <c:x val="1.6799656057320637E-2"/>
                  <c:y val="-8.00010736957532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C6-4B4E-9E81-1A5E1F193F05}"/>
                </c:ext>
              </c:extLst>
            </c:dLbl>
            <c:dLbl>
              <c:idx val="8"/>
              <c:layout>
                <c:manualLayout>
                  <c:x val="1.8301346545207983E-2"/>
                  <c:y val="-8.5250430982700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C6-4B4E-9E81-1A5E1F193F05}"/>
                </c:ext>
              </c:extLst>
            </c:dLbl>
            <c:dLbl>
              <c:idx val="9"/>
              <c:layout>
                <c:manualLayout>
                  <c:x val="1.9802872991101152E-2"/>
                  <c:y val="-8.5250430982700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C6-4B4E-9E81-1A5E1F193F05}"/>
                </c:ext>
              </c:extLst>
            </c:dLbl>
            <c:dLbl>
              <c:idx val="10"/>
              <c:layout>
                <c:manualLayout>
                  <c:x val="2.1304727520982676E-2"/>
                  <c:y val="-8.5250430982700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C6-4B4E-9E81-1A5E1F193F05}"/>
                </c:ext>
              </c:extLst>
            </c:dLbl>
            <c:dLbl>
              <c:idx val="11"/>
              <c:layout>
                <c:manualLayout>
                  <c:x val="2.280641800887092E-2"/>
                  <c:y val="-8.00010736957532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C6-4B4E-9E81-1A5E1F193F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PAICOL2020!$D$52:$G$52</c:f>
              <c:numCache>
                <c:formatCode>mmm\-yy</c:formatCode>
                <c:ptCount val="4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</c:numCache>
            </c:numRef>
          </c:cat>
          <c:val>
            <c:numRef>
              <c:f>PAICOL2020!$D$53:$G$53</c:f>
              <c:numCache>
                <c:formatCode>0.00%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4C6-4B4E-9E81-1A5E1F193F05}"/>
            </c:ext>
          </c:extLst>
        </c:ser>
        <c:ser>
          <c:idx val="1"/>
          <c:order val="1"/>
          <c:tx>
            <c:v>Alcanatrillado</c:v>
          </c:tx>
          <c:invertIfNegative val="0"/>
          <c:dLbls>
            <c:dLbl>
              <c:idx val="0"/>
              <c:layout>
                <c:manualLayout>
                  <c:x val="6.5585229278869485E-3"/>
                  <c:y val="-0.136455752413419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C6-4B4E-9E81-1A5E1F193F05}"/>
                </c:ext>
              </c:extLst>
            </c:dLbl>
            <c:dLbl>
              <c:idx val="1"/>
              <c:layout>
                <c:manualLayout>
                  <c:x val="8.0602134157742467E-3"/>
                  <c:y val="-0.139080431056898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C6-4B4E-9E81-1A5E1F193F05}"/>
                </c:ext>
              </c:extLst>
            </c:dLbl>
            <c:dLbl>
              <c:idx val="2"/>
              <c:layout>
                <c:manualLayout>
                  <c:x val="3.3120631772811113E-3"/>
                  <c:y val="-0.11545832326564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C6-4B4E-9E81-1A5E1F193F05}"/>
                </c:ext>
              </c:extLst>
            </c:dLbl>
            <c:dLbl>
              <c:idx val="3"/>
              <c:layout>
                <c:manualLayout>
                  <c:x val="1.1063758433543685E-2"/>
                  <c:y val="-0.11020896597870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C6-4B4E-9E81-1A5E1F193F05}"/>
                </c:ext>
              </c:extLst>
            </c:dLbl>
            <c:dLbl>
              <c:idx val="4"/>
              <c:layout>
                <c:manualLayout>
                  <c:x val="9.4404465372440304E-3"/>
                  <c:y val="-0.11545832326564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C6-4B4E-9E81-1A5E1F193F05}"/>
                </c:ext>
              </c:extLst>
            </c:dLbl>
            <c:dLbl>
              <c:idx val="5"/>
              <c:layout>
                <c:manualLayout>
                  <c:x val="1.0942137025130683E-2"/>
                  <c:y val="-0.11020896597870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C6-4B4E-9E81-1A5E1F193F05}"/>
                </c:ext>
              </c:extLst>
            </c:dLbl>
            <c:dLbl>
              <c:idx val="6"/>
              <c:layout>
                <c:manualLayout>
                  <c:x val="1.2443827513018492E-2"/>
                  <c:y val="-0.11020896597870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C6-4B4E-9E81-1A5E1F193F05}"/>
                </c:ext>
              </c:extLst>
            </c:dLbl>
            <c:dLbl>
              <c:idx val="7"/>
              <c:layout>
                <c:manualLayout>
                  <c:x val="1.3945518000905774E-2"/>
                  <c:y val="-0.11545832326564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C6-4B4E-9E81-1A5E1F193F05}"/>
                </c:ext>
              </c:extLst>
            </c:dLbl>
            <c:dLbl>
              <c:idx val="8"/>
              <c:layout>
                <c:manualLayout>
                  <c:x val="1.2322206104605014E-2"/>
                  <c:y val="-9.9710251404815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C6-4B4E-9E81-1A5E1F193F05}"/>
                </c:ext>
              </c:extLst>
            </c:dLbl>
            <c:dLbl>
              <c:idx val="9"/>
              <c:layout>
                <c:manualLayout>
                  <c:x val="2.0073901360867612E-2"/>
                  <c:y val="-0.11020896597870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C6-4B4E-9E81-1A5E1F193F05}"/>
                </c:ext>
              </c:extLst>
            </c:dLbl>
            <c:dLbl>
              <c:idx val="10"/>
              <c:layout>
                <c:manualLayout>
                  <c:x val="2.1575591848754946E-2"/>
                  <c:y val="-9.9710251404815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C6-4B4E-9E81-1A5E1F193F05}"/>
                </c:ext>
              </c:extLst>
            </c:dLbl>
            <c:dLbl>
              <c:idx val="11"/>
              <c:layout>
                <c:manualLayout>
                  <c:x val="1.682727756826758E-2"/>
                  <c:y val="-9.9710251404815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C6-4B4E-9E81-1A5E1F193F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PAICOL2020!$D$52:$G$52</c:f>
              <c:numCache>
                <c:formatCode>mmm\-yy</c:formatCode>
                <c:ptCount val="4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</c:numCache>
            </c:numRef>
          </c:cat>
          <c:val>
            <c:numRef>
              <c:f>PAICOL2020!$D$54:$G$54</c:f>
              <c:numCache>
                <c:formatCode>0.00%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A4C6-4B4E-9E81-1A5E1F193F05}"/>
            </c:ext>
          </c:extLst>
        </c:ser>
        <c:ser>
          <c:idx val="2"/>
          <c:order val="2"/>
          <c:tx>
            <c:v>Aseo</c:v>
          </c:tx>
          <c:invertIfNegative val="0"/>
          <c:dLbls>
            <c:dLbl>
              <c:idx val="0"/>
              <c:layout>
                <c:manualLayout>
                  <c:x val="8.3295512976541228E-3"/>
                  <c:y val="-0.12589364674988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C6-4B4E-9E81-1A5E1F193F05}"/>
                </c:ext>
              </c:extLst>
            </c:dLbl>
            <c:dLbl>
              <c:idx val="1"/>
              <c:layout>
                <c:manualLayout>
                  <c:x val="8.2687405934475048E-3"/>
                  <c:y val="-0.13114300403682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C6-4B4E-9E81-1A5E1F193F05}"/>
                </c:ext>
              </c:extLst>
            </c:dLbl>
            <c:dLbl>
              <c:idx val="2"/>
              <c:layout>
                <c:manualLayout>
                  <c:x val="1.13329322734286E-2"/>
                  <c:y val="-0.12589364674988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C6-4B4E-9E81-1A5E1F193F05}"/>
                </c:ext>
              </c:extLst>
            </c:dLbl>
            <c:dLbl>
              <c:idx val="3"/>
              <c:layout>
                <c:manualLayout>
                  <c:x val="8.1471191850344959E-3"/>
                  <c:y val="-0.13114300403682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C6-4B4E-9E81-1A5E1F193F05}"/>
                </c:ext>
              </c:extLst>
            </c:dLbl>
            <c:dLbl>
              <c:idx val="4"/>
              <c:layout>
                <c:manualLayout>
                  <c:x val="1.7461315633390855E-2"/>
                  <c:y val="-0.13376768268030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C6-4B4E-9E81-1A5E1F193F05}"/>
                </c:ext>
              </c:extLst>
            </c:dLbl>
            <c:dLbl>
              <c:idx val="5"/>
              <c:layout>
                <c:manualLayout>
                  <c:x val="1.2713001352902861E-2"/>
                  <c:y val="-0.13114300403682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4C6-4B4E-9E81-1A5E1F193F05}"/>
                </c:ext>
              </c:extLst>
            </c:dLbl>
            <c:dLbl>
              <c:idx val="6"/>
              <c:layout>
                <c:manualLayout>
                  <c:x val="1.4214691840790198E-2"/>
                  <c:y val="-0.13114300403682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4C6-4B4E-9E81-1A5E1F193F05}"/>
                </c:ext>
              </c:extLst>
            </c:dLbl>
            <c:dLbl>
              <c:idx val="7"/>
              <c:layout>
                <c:manualLayout>
                  <c:x val="1.5716382328677544E-2"/>
                  <c:y val="-0.13114300403682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4C6-4B4E-9E81-1A5E1F193F05}"/>
                </c:ext>
              </c:extLst>
            </c:dLbl>
            <c:dLbl>
              <c:idx val="8"/>
              <c:layout>
                <c:manualLayout>
                  <c:x val="1.721807281656489E-2"/>
                  <c:y val="-0.13114300403682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4C6-4B4E-9E81-1A5E1F193F05}"/>
                </c:ext>
              </c:extLst>
            </c:dLbl>
            <c:dLbl>
              <c:idx val="9"/>
              <c:layout>
                <c:manualLayout>
                  <c:x val="1.8719763304452127E-2"/>
                  <c:y val="-0.115394932175994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4C6-4B4E-9E81-1A5E1F193F05}"/>
                </c:ext>
              </c:extLst>
            </c:dLbl>
            <c:dLbl>
              <c:idx val="10"/>
              <c:layout>
                <c:manualLayout>
                  <c:x val="2.3346456176527138E-2"/>
                  <c:y val="-0.125893646749881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4C6-4B4E-9E81-1A5E1F193F05}"/>
                </c:ext>
              </c:extLst>
            </c:dLbl>
            <c:dLbl>
              <c:idx val="11"/>
              <c:layout>
                <c:manualLayout>
                  <c:x val="2.4848146664415299E-2"/>
                  <c:y val="-0.12064428946294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4C6-4B4E-9E81-1A5E1F193F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PAICOL2020!$D$52:$G$52</c:f>
              <c:numCache>
                <c:formatCode>mmm\-yy</c:formatCode>
                <c:ptCount val="4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</c:numCache>
            </c:numRef>
          </c:cat>
          <c:val>
            <c:numRef>
              <c:f>PAICOL2020!$D$55:$G$55</c:f>
              <c:numCache>
                <c:formatCode>0.00%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6-A4C6-4B4E-9E81-1A5E1F193F0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274358272"/>
        <c:axId val="274359808"/>
        <c:axId val="302072256"/>
      </c:bar3DChart>
      <c:dateAx>
        <c:axId val="27435827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 lang="es-ES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74359808"/>
        <c:crosses val="autoZero"/>
        <c:auto val="1"/>
        <c:lblOffset val="100"/>
        <c:baseTimeUnit val="months"/>
        <c:majorUnit val="1"/>
        <c:minorUnit val="1"/>
      </c:dateAx>
      <c:valAx>
        <c:axId val="27435980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 rot="0" vert="horz"/>
          <a:lstStyle/>
          <a:p>
            <a:pPr>
              <a:defRPr lang="es-ES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274358272"/>
        <c:crosses val="autoZero"/>
        <c:crossBetween val="between"/>
      </c:valAx>
      <c:serAx>
        <c:axId val="302072256"/>
        <c:scaling>
          <c:orientation val="minMax"/>
        </c:scaling>
        <c:delete val="1"/>
        <c:axPos val="b"/>
        <c:majorTickMark val="out"/>
        <c:minorTickMark val="none"/>
        <c:tickLblPos val="none"/>
        <c:crossAx val="274359808"/>
        <c:crosses val="autoZero"/>
      </c:ser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3437500000000003E-2"/>
          <c:y val="0.90204176175104656"/>
          <c:w val="0.45625032808398924"/>
          <c:h val="7.3107049608355096E-2"/>
        </c:manualLayout>
      </c:layout>
      <c:overlay val="0"/>
      <c:txPr>
        <a:bodyPr/>
        <a:lstStyle/>
        <a:p>
          <a:pPr>
            <a:defRPr lang="es-ES" sz="59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000000000001465" r="0.75000000000001465" t="1" header="0" footer="0"/>
    <c:pageSetup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ES" u="sng"/>
            </a:pPr>
            <a:r>
              <a:rPr lang="es-CO" sz="1200" u="sng"/>
              <a:t>INDICADOR</a:t>
            </a:r>
            <a:r>
              <a:rPr lang="es-CO" sz="1200" u="sng" baseline="0"/>
              <a:t> DE FACTURACION Y RECAUDO DEL  CORRIENTE</a:t>
            </a:r>
          </a:p>
          <a:p>
            <a:pPr>
              <a:defRPr lang="es-ES" u="sng"/>
            </a:pPr>
            <a:r>
              <a:rPr lang="es-CO" sz="1200" u="sng"/>
              <a:t>PAICOL</a:t>
            </a:r>
          </a:p>
        </c:rich>
      </c:tx>
      <c:overlay val="0"/>
    </c:title>
    <c:autoTitleDeleted val="0"/>
    <c:view3D>
      <c:rotX val="90"/>
      <c:rotY val="24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286633589377097"/>
          <c:y val="0.12707959874257954"/>
          <c:w val="0.55757574481790295"/>
          <c:h val="0.7688720642869204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PAICOL2020!$B$43</c:f>
              <c:strCache>
                <c:ptCount val="1"/>
                <c:pt idx="0">
                  <c:v>Total Facturado Corriente</c:v>
                </c:pt>
              </c:strCache>
            </c:strRef>
          </c:tx>
          <c:spPr>
            <a:solidFill>
              <a:srgbClr val="7030A0"/>
            </a:solidFill>
            <a:ln w="6350">
              <a:noFill/>
            </a:ln>
            <a:effectLst>
              <a:innerShdw blurRad="63500" dist="50800" dir="13500000">
                <a:schemeClr val="accent2">
                  <a:lumMod val="60000"/>
                  <a:lumOff val="40000"/>
                  <a:alpha val="50000"/>
                </a:schemeClr>
              </a:innerShdw>
            </a:effectLst>
            <a:scene3d>
              <a:camera prst="orthographicFront"/>
              <a:lightRig rig="threePt" dir="t"/>
            </a:scene3d>
            <a:sp3d prstMaterial="dkEdge">
              <a:bevelT prst="angle"/>
              <a:bevelB w="139700" prst="cross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 sz="5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PAICOL2020!$D$42:$O$42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PAICOL2020!$D$43:$O$43</c:f>
              <c:numCache>
                <c:formatCode>_-* #,##0_-;\-* #,##0_-;_-* "-"??_-;_-@_-</c:formatCode>
                <c:ptCount val="12"/>
                <c:pt idx="0">
                  <c:v>26245835</c:v>
                </c:pt>
                <c:pt idx="1">
                  <c:v>30790244</c:v>
                </c:pt>
                <c:pt idx="2">
                  <c:v>27010426</c:v>
                </c:pt>
                <c:pt idx="3">
                  <c:v>28246685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26476985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1D-46C9-92EA-9B89E32C0D3A}"/>
            </c:ext>
          </c:extLst>
        </c:ser>
        <c:ser>
          <c:idx val="1"/>
          <c:order val="1"/>
          <c:tx>
            <c:strRef>
              <c:f>PAICOL2020!$B$44</c:f>
              <c:strCache>
                <c:ptCount val="1"/>
                <c:pt idx="0">
                  <c:v>Total Recaudado Corriente</c:v>
                </c:pt>
              </c:strCache>
            </c:strRef>
          </c:tx>
          <c:spPr>
            <a:solidFill>
              <a:srgbClr val="B91777"/>
            </a:solidFill>
            <a:ln w="12700" cmpd="sng">
              <a:noFill/>
            </a:ln>
            <a:effectLst>
              <a:innerShdw blurRad="63500" dist="50800" dir="10560000">
                <a:srgbClr val="7030A0">
                  <a:alpha val="50000"/>
                </a:srgbClr>
              </a:innerShdw>
            </a:effectLst>
            <a:scene3d>
              <a:camera prst="orthographicFront"/>
              <a:lightRig rig="threePt" dir="t"/>
            </a:scene3d>
            <a:sp3d prstMaterial="dkEdge">
              <a:bevelT prst="relaxedInset"/>
              <a:bevelB w="44450" h="50800" prst="coolSlant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 sz="5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PAICOL2020!$D$42:$O$42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PAICOL2020!$D$44:$O$44</c:f>
              <c:numCache>
                <c:formatCode>_-* #,##0_-;\-* #,##0_-;_-* "-"??_-;_-@_-</c:formatCode>
                <c:ptCount val="12"/>
                <c:pt idx="0">
                  <c:v>20768066</c:v>
                </c:pt>
                <c:pt idx="1">
                  <c:v>25985831</c:v>
                </c:pt>
                <c:pt idx="2">
                  <c:v>21264482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20085216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1D-46C9-92EA-9B89E32C0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301044864"/>
        <c:axId val="301046400"/>
        <c:axId val="0"/>
      </c:bar3DChart>
      <c:dateAx>
        <c:axId val="301044864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/>
          <a:lstStyle/>
          <a:p>
            <a:pPr>
              <a:defRPr lang="es-ES" sz="700" b="1" baseline="0">
                <a:latin typeface="Tahoma" pitchFamily="34" charset="0"/>
                <a:ea typeface="Tahoma" pitchFamily="34" charset="0"/>
                <a:cs typeface="Tahoma" pitchFamily="34" charset="0"/>
              </a:defRPr>
            </a:pPr>
            <a:endParaRPr lang="es-CO"/>
          </a:p>
        </c:txPr>
        <c:crossAx val="301046400"/>
        <c:crosses val="autoZero"/>
        <c:auto val="1"/>
        <c:lblOffset val="100"/>
        <c:baseTimeUnit val="months"/>
      </c:dateAx>
      <c:valAx>
        <c:axId val="301046400"/>
        <c:scaling>
          <c:orientation val="minMax"/>
        </c:scaling>
        <c:delete val="0"/>
        <c:axPos val="l"/>
        <c:majorGridlines>
          <c:spPr>
            <a:ln>
              <a:solidFill>
                <a:schemeClr val="accent4">
                  <a:lumMod val="75000"/>
                </a:schemeClr>
              </a:solidFill>
            </a:ln>
          </c:spPr>
        </c:majorGridlines>
        <c:numFmt formatCode="_-* #,##0_-;\-* #,##0_-;_-* &quot;-&quot;??_-;_-@_-" sourceLinked="1"/>
        <c:majorTickMark val="none"/>
        <c:minorTickMark val="none"/>
        <c:tickLblPos val="nextTo"/>
        <c:txPr>
          <a:bodyPr/>
          <a:lstStyle/>
          <a:p>
            <a:pPr>
              <a:defRPr lang="es-ES" sz="700" b="1" baseline="0">
                <a:latin typeface="Tahoma" pitchFamily="34" charset="0"/>
                <a:ea typeface="Tahoma" pitchFamily="34" charset="0"/>
                <a:cs typeface="Tahoma" pitchFamily="34" charset="0"/>
              </a:defRPr>
            </a:pPr>
            <a:endParaRPr lang="es-CO"/>
          </a:p>
        </c:txPr>
        <c:crossAx val="301044864"/>
        <c:crosses val="autoZero"/>
        <c:crossBetween val="between"/>
      </c:valAx>
    </c:plotArea>
    <c:legend>
      <c:legendPos val="r"/>
      <c:overlay val="0"/>
      <c:spPr>
        <a:ln>
          <a:noFill/>
        </a:ln>
      </c:spPr>
      <c:txPr>
        <a:bodyPr/>
        <a:lstStyle/>
        <a:p>
          <a:pPr>
            <a:defRPr lang="es-ES" sz="700" b="1" baseline="0">
              <a:latin typeface="Tahoma" pitchFamily="34" charset="0"/>
              <a:ea typeface="Tahoma" pitchFamily="34" charset="0"/>
              <a:cs typeface="Tahoma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gradFill>
      <a:gsLst>
        <a:gs pos="0">
          <a:srgbClr val="8064A2">
            <a:lumMod val="75000"/>
          </a:srgbClr>
        </a:gs>
        <a:gs pos="51000">
          <a:srgbClr val="4F81BD">
            <a:tint val="44500"/>
            <a:satMod val="160000"/>
          </a:srgbClr>
        </a:gs>
        <a:gs pos="100000">
          <a:srgbClr val="4F81BD">
            <a:tint val="23500"/>
            <a:satMod val="160000"/>
          </a:srgbClr>
        </a:gs>
      </a:gsLst>
      <a:lin ang="7200000" scaled="0"/>
    </a:gradFill>
    <a:ln cap="rnd" cmpd="sng">
      <a:solidFill>
        <a:srgbClr val="7030A0"/>
      </a:solidFill>
    </a:ln>
    <a:effectLst>
      <a:innerShdw blurRad="584200" dist="660400" dir="18600000">
        <a:srgbClr val="FFFF00">
          <a:alpha val="72000"/>
        </a:srgbClr>
      </a:innerShdw>
    </a:effectLst>
    <a:scene3d>
      <a:camera prst="orthographicFront"/>
      <a:lightRig rig="threePt" dir="t"/>
    </a:scene3d>
    <a:sp3d>
      <a:bevelT w="254000" prst="relaxedInset"/>
      <a:bevelB w="82550" h="222250" prst="angle"/>
    </a:sp3d>
  </c:sp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 lang="es-ES"/>
          </a:pPr>
          <a:endParaRPr lang="es-CO"/>
        </a:p>
      </c:txPr>
    </c:title>
    <c:autoTitleDeleted val="0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PAICOL2020!$B$57:$C$57</c:f>
              <c:strCache>
                <c:ptCount val="2"/>
                <c:pt idx="0">
                  <c:v>Índice de Agua No Contabilizada</c:v>
                </c:pt>
                <c:pt idx="1">
                  <c:v>(%)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PAICOL2020!$D$4:$H$4</c:f>
              <c:numCache>
                <c:formatCode>mmm\-yy</c:formatCode>
                <c:ptCount val="5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</c:numCache>
            </c:numRef>
          </c:cat>
          <c:val>
            <c:numRef>
              <c:f>PAICOL2020!$D$57:$H$57</c:f>
              <c:numCache>
                <c:formatCode>0.00%</c:formatCode>
                <c:ptCount val="5"/>
                <c:pt idx="0">
                  <c:v>0.53620000000000001</c:v>
                </c:pt>
                <c:pt idx="1">
                  <c:v>0.33129999999999998</c:v>
                </c:pt>
                <c:pt idx="2">
                  <c:v>0.52959999999999996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5E-466A-A011-7BF2AC8D4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301826048"/>
        <c:axId val="301827584"/>
        <c:axId val="0"/>
      </c:bar3DChart>
      <c:dateAx>
        <c:axId val="30182604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301827584"/>
        <c:crosses val="autoZero"/>
        <c:auto val="1"/>
        <c:lblOffset val="100"/>
        <c:baseTimeUnit val="months"/>
      </c:dateAx>
      <c:valAx>
        <c:axId val="301827584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30182604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0766" l="0.70000000000000062" r="0.70000000000000062" t="0.75000000000000766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s-ES" u="sng"/>
            </a:pPr>
            <a:r>
              <a:rPr lang="es-CO" sz="1200" u="sng"/>
              <a:t>INDICADOR</a:t>
            </a:r>
            <a:r>
              <a:rPr lang="es-CO" sz="1200" u="sng" baseline="0"/>
              <a:t> DE FACTURACION Y RECAUDO DE LA DEUDA</a:t>
            </a:r>
            <a:endParaRPr lang="es-CO" sz="1200" u="sng"/>
          </a:p>
          <a:p>
            <a:pPr>
              <a:defRPr lang="es-ES" u="sng"/>
            </a:pPr>
            <a:r>
              <a:rPr lang="es-CO" sz="1200" u="sng"/>
              <a:t>PAICOL</a:t>
            </a:r>
          </a:p>
        </c:rich>
      </c:tx>
      <c:overlay val="0"/>
    </c:title>
    <c:autoTitleDeleted val="0"/>
    <c:view3D>
      <c:rotX val="90"/>
      <c:rotY val="24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PAICOL2020!$B$46</c:f>
              <c:strCache>
                <c:ptCount val="1"/>
                <c:pt idx="0">
                  <c:v>Total Facturado deuda</c:v>
                </c:pt>
              </c:strCache>
            </c:strRef>
          </c:tx>
          <c:spPr>
            <a:solidFill>
              <a:srgbClr val="7030A0"/>
            </a:solidFill>
            <a:ln w="6350">
              <a:noFill/>
            </a:ln>
            <a:effectLst>
              <a:innerShdw blurRad="63500" dist="50800" dir="13500000">
                <a:schemeClr val="accent2">
                  <a:lumMod val="60000"/>
                  <a:lumOff val="40000"/>
                  <a:alpha val="50000"/>
                </a:schemeClr>
              </a:innerShdw>
            </a:effectLst>
            <a:scene3d>
              <a:camera prst="orthographicFront"/>
              <a:lightRig rig="threePt" dir="t"/>
            </a:scene3d>
            <a:sp3d prstMaterial="dkEdge">
              <a:bevelT prst="angle"/>
              <a:bevelB w="139700" prst="cross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 sz="5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PAICOL2020!$D$45:$O$45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PAICOL2020!$D$46:$O$46</c:f>
              <c:numCache>
                <c:formatCode>_-* #,##0_-;\-* #,##0_-;_-* "-"??_-;_-@_-</c:formatCode>
                <c:ptCount val="12"/>
                <c:pt idx="0">
                  <c:v>8500034</c:v>
                </c:pt>
                <c:pt idx="1">
                  <c:v>7355169</c:v>
                </c:pt>
                <c:pt idx="2">
                  <c:v>5339663</c:v>
                </c:pt>
                <c:pt idx="3">
                  <c:v>5205239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8500034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8A-41C0-AA35-4439C14E2291}"/>
            </c:ext>
          </c:extLst>
        </c:ser>
        <c:ser>
          <c:idx val="1"/>
          <c:order val="1"/>
          <c:tx>
            <c:strRef>
              <c:f>PAICOL2020!$B$47</c:f>
              <c:strCache>
                <c:ptCount val="1"/>
                <c:pt idx="0">
                  <c:v>Total Recaudado deuda</c:v>
                </c:pt>
              </c:strCache>
            </c:strRef>
          </c:tx>
          <c:spPr>
            <a:solidFill>
              <a:srgbClr val="B91777"/>
            </a:solidFill>
            <a:ln w="12700" cmpd="sng">
              <a:noFill/>
            </a:ln>
            <a:effectLst>
              <a:innerShdw blurRad="63500" dist="50800" dir="10560000">
                <a:srgbClr val="7030A0">
                  <a:alpha val="50000"/>
                </a:srgbClr>
              </a:innerShdw>
            </a:effectLst>
            <a:scene3d>
              <a:camera prst="orthographicFront"/>
              <a:lightRig rig="threePt" dir="t"/>
            </a:scene3d>
            <a:sp3d prstMaterial="dkEdge">
              <a:bevelT prst="relaxedInset"/>
              <a:bevelB w="44450" h="50800" prst="coolSlant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s-ES" sz="5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PAICOL2020!$D$45:$O$45</c:f>
              <c:numCache>
                <c:formatCode>mmm\-yy</c:formatCode>
                <c:ptCount val="12"/>
                <c:pt idx="0">
                  <c:v>45658</c:v>
                </c:pt>
                <c:pt idx="1">
                  <c:v>45689</c:v>
                </c:pt>
                <c:pt idx="2">
                  <c:v>45717</c:v>
                </c:pt>
                <c:pt idx="3">
                  <c:v>45748</c:v>
                </c:pt>
                <c:pt idx="4">
                  <c:v>45778</c:v>
                </c:pt>
                <c:pt idx="5">
                  <c:v>45809</c:v>
                </c:pt>
                <c:pt idx="6">
                  <c:v>45839</c:v>
                </c:pt>
                <c:pt idx="7">
                  <c:v>45870</c:v>
                </c:pt>
                <c:pt idx="8">
                  <c:v>45901</c:v>
                </c:pt>
                <c:pt idx="9">
                  <c:v>45931</c:v>
                </c:pt>
                <c:pt idx="10">
                  <c:v>45962</c:v>
                </c:pt>
                <c:pt idx="11">
                  <c:v>45992</c:v>
                </c:pt>
              </c:numCache>
            </c:numRef>
          </c:cat>
          <c:val>
            <c:numRef>
              <c:f>PAICOL2020!$D$47:$O$47</c:f>
              <c:numCache>
                <c:formatCode>_-* #,##0_-;\-* #,##0_-;_-* "-"??_-;_-@_-</c:formatCode>
                <c:ptCount val="12"/>
                <c:pt idx="0">
                  <c:v>6515834</c:v>
                </c:pt>
                <c:pt idx="1">
                  <c:v>6742419</c:v>
                </c:pt>
                <c:pt idx="2">
                  <c:v>5383218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6384284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28A-41C0-AA35-4439C14E22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303440256"/>
        <c:axId val="303441792"/>
        <c:axId val="0"/>
      </c:bar3DChart>
      <c:dateAx>
        <c:axId val="30344025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/>
          <a:lstStyle/>
          <a:p>
            <a:pPr>
              <a:defRPr lang="es-ES" b="1">
                <a:latin typeface="Tahoma" pitchFamily="34" charset="0"/>
                <a:ea typeface="Tahoma" pitchFamily="34" charset="0"/>
                <a:cs typeface="Tahoma" pitchFamily="34" charset="0"/>
              </a:defRPr>
            </a:pPr>
            <a:endParaRPr lang="es-CO"/>
          </a:p>
        </c:txPr>
        <c:crossAx val="303441792"/>
        <c:crosses val="autoZero"/>
        <c:auto val="1"/>
        <c:lblOffset val="100"/>
        <c:baseTimeUnit val="months"/>
      </c:dateAx>
      <c:valAx>
        <c:axId val="303441792"/>
        <c:scaling>
          <c:orientation val="minMax"/>
        </c:scaling>
        <c:delete val="0"/>
        <c:axPos val="l"/>
        <c:majorGridlines>
          <c:spPr>
            <a:ln>
              <a:solidFill>
                <a:schemeClr val="accent4">
                  <a:lumMod val="75000"/>
                </a:schemeClr>
              </a:solidFill>
            </a:ln>
          </c:spPr>
        </c:majorGridlines>
        <c:numFmt formatCode="_-* #,##0_-;\-* #,##0_-;_-* &quot;-&quot;??_-;_-@_-" sourceLinked="1"/>
        <c:majorTickMark val="none"/>
        <c:minorTickMark val="none"/>
        <c:tickLblPos val="nextTo"/>
        <c:txPr>
          <a:bodyPr/>
          <a:lstStyle/>
          <a:p>
            <a:pPr>
              <a:defRPr lang="es-ES" b="1">
                <a:latin typeface="Tahoma" pitchFamily="34" charset="0"/>
                <a:ea typeface="Tahoma" pitchFamily="34" charset="0"/>
                <a:cs typeface="Tahoma" pitchFamily="34" charset="0"/>
              </a:defRPr>
            </a:pPr>
            <a:endParaRPr lang="es-CO"/>
          </a:p>
        </c:txPr>
        <c:crossAx val="303440256"/>
        <c:crosses val="autoZero"/>
        <c:crossBetween val="between"/>
      </c:valAx>
    </c:plotArea>
    <c:legend>
      <c:legendPos val="r"/>
      <c:overlay val="0"/>
      <c:spPr>
        <a:ln>
          <a:noFill/>
        </a:ln>
      </c:spPr>
      <c:txPr>
        <a:bodyPr/>
        <a:lstStyle/>
        <a:p>
          <a:pPr>
            <a:defRPr lang="es-ES" sz="1000" b="1">
              <a:latin typeface="Tahoma" pitchFamily="34" charset="0"/>
              <a:ea typeface="Tahoma" pitchFamily="34" charset="0"/>
              <a:cs typeface="Tahoma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gradFill>
      <a:gsLst>
        <a:gs pos="0">
          <a:srgbClr val="8064A2">
            <a:lumMod val="75000"/>
          </a:srgbClr>
        </a:gs>
        <a:gs pos="51000">
          <a:srgbClr val="4F81BD">
            <a:tint val="44500"/>
            <a:satMod val="160000"/>
          </a:srgbClr>
        </a:gs>
        <a:gs pos="100000">
          <a:srgbClr val="4F81BD">
            <a:tint val="23500"/>
            <a:satMod val="160000"/>
          </a:srgbClr>
        </a:gs>
      </a:gsLst>
      <a:lin ang="7200000" scaled="0"/>
    </a:gradFill>
    <a:ln cap="rnd" cmpd="sng">
      <a:solidFill>
        <a:srgbClr val="7030A0"/>
      </a:solidFill>
    </a:ln>
    <a:effectLst>
      <a:innerShdw blurRad="584200" dist="660400" dir="18600000">
        <a:srgbClr val="FFFF00">
          <a:alpha val="72000"/>
        </a:srgbClr>
      </a:innerShdw>
    </a:effectLst>
    <a:scene3d>
      <a:camera prst="orthographicFront"/>
      <a:lightRig rig="threePt" dir="t"/>
    </a:scene3d>
    <a:sp3d>
      <a:bevelT w="254000" prst="relaxedInset"/>
      <a:bevelB w="82550" h="222250" prst="angle"/>
    </a:sp3d>
  </c:sp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'02'!$A$18</c:f>
              <c:strCache>
                <c:ptCount val="1"/>
                <c:pt idx="0">
                  <c:v>META  AÑO 2021</c:v>
                </c:pt>
              </c:strCache>
            </c:strRef>
          </c:tx>
          <c:marker>
            <c:symbol val="none"/>
          </c:marker>
          <c:cat>
            <c:strRef>
              <c:f>'02'!$C$16:$N$16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'02'!$C$18:$N$18</c:f>
              <c:numCache>
                <c:formatCode>0.0%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3D-4759-95DC-9A122CEBA1D8}"/>
            </c:ext>
          </c:extLst>
        </c:ser>
        <c:ser>
          <c:idx val="1"/>
          <c:order val="1"/>
          <c:tx>
            <c:strRef>
              <c:f>'02'!$A$19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'02'!$C$16:$N$16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'02'!$C$19:$N$19</c:f>
              <c:numCache>
                <c:formatCode>0.0%</c:formatCode>
                <c:ptCount val="12"/>
                <c:pt idx="0">
                  <c:v>0.78524154914646116</c:v>
                </c:pt>
                <c:pt idx="1">
                  <c:v>0.85798651596720166</c:v>
                </c:pt>
                <c:pt idx="2">
                  <c:v>0.82372880025152329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0.75676832265208194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3D-4759-95DC-9A122CEBA1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020096"/>
        <c:axId val="152021632"/>
      </c:lineChart>
      <c:catAx>
        <c:axId val="1520200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152021632"/>
        <c:crosses val="autoZero"/>
        <c:auto val="1"/>
        <c:lblAlgn val="ctr"/>
        <c:lblOffset val="100"/>
        <c:noMultiLvlLbl val="0"/>
      </c:catAx>
      <c:valAx>
        <c:axId val="152021632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15202009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888" l="0.70000000000000062" r="0.70000000000000062" t="0.75000000000000888" header="0.30000000000000032" footer="0.30000000000000032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'03'!$A$18</c:f>
              <c:strCache>
                <c:ptCount val="1"/>
                <c:pt idx="0">
                  <c:v>META  AÑO 2021</c:v>
                </c:pt>
              </c:strCache>
            </c:strRef>
          </c:tx>
          <c:marker>
            <c:symbol val="none"/>
          </c:marker>
          <c:cat>
            <c:strRef>
              <c:f>'03'!$C$16:$N$16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'03'!$C$18:$N$18</c:f>
              <c:numCache>
                <c:formatCode>#,##0</c:formatCode>
                <c:ptCount val="12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39-4E77-B87A-C38D0C3DC656}"/>
            </c:ext>
          </c:extLst>
        </c:ser>
        <c:ser>
          <c:idx val="1"/>
          <c:order val="1"/>
          <c:tx>
            <c:strRef>
              <c:f>'03'!$A$19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'03'!$C$16:$N$16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'03'!$C$19:$N$19</c:f>
              <c:numCache>
                <c:formatCode>#,##0</c:formatCode>
                <c:ptCount val="12"/>
                <c:pt idx="0">
                  <c:v>8.5293178898670963</c:v>
                </c:pt>
                <c:pt idx="1">
                  <c:v>5.6986697840852631</c:v>
                </c:pt>
                <c:pt idx="2">
                  <c:v>6.1063218512179658</c:v>
                </c:pt>
                <c:pt idx="3">
                  <c:v>35.747767785383957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22.376886351840373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39-4E77-B87A-C38D0C3DC6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3953152"/>
        <c:axId val="273954688"/>
      </c:lineChart>
      <c:catAx>
        <c:axId val="2739531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273954688"/>
        <c:crosses val="autoZero"/>
        <c:auto val="1"/>
        <c:lblAlgn val="ctr"/>
        <c:lblOffset val="100"/>
        <c:noMultiLvlLbl val="0"/>
      </c:catAx>
      <c:valAx>
        <c:axId val="27395468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27395315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91" l="0.70000000000000062" r="0.70000000000000062" t="0.7500000000000091" header="0.30000000000000032" footer="0.30000000000000032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'04'!$A$18</c:f>
              <c:strCache>
                <c:ptCount val="1"/>
                <c:pt idx="0">
                  <c:v>META  AÑO 2021</c:v>
                </c:pt>
              </c:strCache>
            </c:strRef>
          </c:tx>
          <c:marker>
            <c:symbol val="none"/>
          </c:marker>
          <c:cat>
            <c:strRef>
              <c:f>'04'!$C$16:$N$16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'04'!$C$18:$N$18</c:f>
              <c:numCache>
                <c:formatCode>0.0%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21-47E5-908F-6CAE84AB727B}"/>
            </c:ext>
          </c:extLst>
        </c:ser>
        <c:ser>
          <c:idx val="1"/>
          <c:order val="1"/>
          <c:tx>
            <c:strRef>
              <c:f>'04'!$A$19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'04'!$C$16:$N$16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'04'!$C$19:$N$19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21-47E5-908F-6CAE84AB72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4117760"/>
        <c:axId val="274119296"/>
      </c:lineChart>
      <c:catAx>
        <c:axId val="2741177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274119296"/>
        <c:crosses val="autoZero"/>
        <c:auto val="1"/>
        <c:lblAlgn val="ctr"/>
        <c:lblOffset val="100"/>
        <c:noMultiLvlLbl val="0"/>
      </c:catAx>
      <c:valAx>
        <c:axId val="274119296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27411776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91" l="0.70000000000000062" r="0.70000000000000062" t="0.7500000000000091" header="0.30000000000000032" footer="0.30000000000000032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'05'!$A$18</c:f>
              <c:strCache>
                <c:ptCount val="1"/>
                <c:pt idx="0">
                  <c:v>META  AÑO 2021</c:v>
                </c:pt>
              </c:strCache>
            </c:strRef>
          </c:tx>
          <c:marker>
            <c:symbol val="none"/>
          </c:marker>
          <c:cat>
            <c:strRef>
              <c:f>'05'!$C$16:$N$16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'05'!$C$18:$N$18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A1-482B-99E0-8B4DC7E6DAEF}"/>
            </c:ext>
          </c:extLst>
        </c:ser>
        <c:ser>
          <c:idx val="1"/>
          <c:order val="1"/>
          <c:tx>
            <c:strRef>
              <c:f>'05'!$A$19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'05'!$C$16:$N$16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'05'!$C$19:$N$19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0.98167539267015702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A1-482B-99E0-8B4DC7E6DA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4665856"/>
        <c:axId val="274667392"/>
      </c:lineChart>
      <c:catAx>
        <c:axId val="2746658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274667392"/>
        <c:crosses val="autoZero"/>
        <c:auto val="1"/>
        <c:lblAlgn val="ctr"/>
        <c:lblOffset val="100"/>
        <c:noMultiLvlLbl val="0"/>
      </c:catAx>
      <c:valAx>
        <c:axId val="27466739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27466585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933" l="0.70000000000000062" r="0.70000000000000062" t="0.75000000000000933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'06'!$A$18</c:f>
              <c:strCache>
                <c:ptCount val="1"/>
                <c:pt idx="0">
                  <c:v>META  AÑO 2021</c:v>
                </c:pt>
              </c:strCache>
            </c:strRef>
          </c:tx>
          <c:marker>
            <c:symbol val="none"/>
          </c:marker>
          <c:cat>
            <c:strRef>
              <c:f>'06'!$C$16:$N$16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'06'!$C$18:$N$18</c:f>
              <c:numCache>
                <c:formatCode>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F1-4521-BA00-0AE5CAEE6058}"/>
            </c:ext>
          </c:extLst>
        </c:ser>
        <c:ser>
          <c:idx val="1"/>
          <c:order val="1"/>
          <c:tx>
            <c:strRef>
              <c:f>'06'!$A$19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'06'!$C$16:$N$16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'06'!$C$19:$N$19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0.96247818499127402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F1-4521-BA00-0AE5CAEE60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5205504"/>
        <c:axId val="275211392"/>
      </c:lineChart>
      <c:catAx>
        <c:axId val="2752055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275211392"/>
        <c:crosses val="autoZero"/>
        <c:auto val="1"/>
        <c:lblAlgn val="ctr"/>
        <c:lblOffset val="100"/>
        <c:noMultiLvlLbl val="0"/>
      </c:catAx>
      <c:valAx>
        <c:axId val="275211392"/>
        <c:scaling>
          <c:orientation val="minMax"/>
        </c:scaling>
        <c:delete val="0"/>
        <c:axPos val="l"/>
        <c:majorGridlines/>
        <c:numFmt formatCode="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27520550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866" l="0.70000000000000062" r="0.70000000000000062" t="0.75000000000000866" header="0.30000000000000032" footer="0.30000000000000032"/>
    <c:pageSetup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'07'!$A$18</c:f>
              <c:strCache>
                <c:ptCount val="1"/>
                <c:pt idx="0">
                  <c:v>META  AÑO 2021</c:v>
                </c:pt>
              </c:strCache>
            </c:strRef>
          </c:tx>
          <c:marker>
            <c:symbol val="none"/>
          </c:marker>
          <c:cat>
            <c:strRef>
              <c:f>'07'!$C$16:$N$16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'07'!$C$18:$N$18</c:f>
              <c:numCache>
                <c:formatCode>0.0%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9C-4FDA-9457-5456E0A3D873}"/>
            </c:ext>
          </c:extLst>
        </c:ser>
        <c:ser>
          <c:idx val="1"/>
          <c:order val="1"/>
          <c:tx>
            <c:strRef>
              <c:f>'07'!$A$19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'07'!$C$16:$N$16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'07'!$C$19:$N$19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0.9511343804537522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9C-4FDA-9457-5456E0A3D8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5239680"/>
        <c:axId val="275241216"/>
      </c:lineChart>
      <c:catAx>
        <c:axId val="275239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275241216"/>
        <c:crosses val="autoZero"/>
        <c:auto val="1"/>
        <c:lblAlgn val="ctr"/>
        <c:lblOffset val="100"/>
        <c:noMultiLvlLbl val="0"/>
      </c:catAx>
      <c:valAx>
        <c:axId val="275241216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27523968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91" l="0.70000000000000062" r="0.70000000000000062" t="0.7500000000000091" header="0.30000000000000032" footer="0.30000000000000032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'08'!$A$18</c:f>
              <c:strCache>
                <c:ptCount val="1"/>
                <c:pt idx="0">
                  <c:v>META  AÑO 2021</c:v>
                </c:pt>
              </c:strCache>
            </c:strRef>
          </c:tx>
          <c:marker>
            <c:symbol val="none"/>
          </c:marker>
          <c:cat>
            <c:strRef>
              <c:f>'08'!$C$16:$N$16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'08'!$C$18:$N$18</c:f>
              <c:numCache>
                <c:formatCode>0.0%</c:formatCode>
                <c:ptCount val="12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  <c:pt idx="7">
                  <c:v>0.9</c:v>
                </c:pt>
                <c:pt idx="8">
                  <c:v>0.9</c:v>
                </c:pt>
                <c:pt idx="9">
                  <c:v>0.9</c:v>
                </c:pt>
                <c:pt idx="10">
                  <c:v>0.9</c:v>
                </c:pt>
                <c:pt idx="11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FF-4E2C-A560-1ED0C44B76DB}"/>
            </c:ext>
          </c:extLst>
        </c:ser>
        <c:ser>
          <c:idx val="1"/>
          <c:order val="1"/>
          <c:tx>
            <c:strRef>
              <c:f>'08'!$A$19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'08'!$C$16:$N$16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'08'!$C$19:$N$19</c:f>
              <c:numCache>
                <c:formatCode>0.0%</c:formatCode>
                <c:ptCount val="12"/>
                <c:pt idx="0">
                  <c:v>0.88288288288288286</c:v>
                </c:pt>
                <c:pt idx="1">
                  <c:v>0.87917042380522992</c:v>
                </c:pt>
                <c:pt idx="2">
                  <c:v>0.90450450450450448</c:v>
                </c:pt>
                <c:pt idx="3">
                  <c:v>0.90785907859078596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0.82399999999999995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FF-4E2C-A560-1ED0C44B76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4477056"/>
        <c:axId val="274478592"/>
      </c:lineChart>
      <c:catAx>
        <c:axId val="2744770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274478592"/>
        <c:crosses val="autoZero"/>
        <c:auto val="1"/>
        <c:lblAlgn val="ctr"/>
        <c:lblOffset val="100"/>
        <c:noMultiLvlLbl val="0"/>
      </c:catAx>
      <c:valAx>
        <c:axId val="274478592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27447705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933" l="0.70000000000000062" r="0.70000000000000062" t="0.75000000000000933" header="0.30000000000000032" footer="0.30000000000000032"/>
    <c:pageSetup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'09'!$A$18</c:f>
              <c:strCache>
                <c:ptCount val="1"/>
                <c:pt idx="0">
                  <c:v>META  AÑO 2021</c:v>
                </c:pt>
              </c:strCache>
            </c:strRef>
          </c:tx>
          <c:marker>
            <c:symbol val="none"/>
          </c:marker>
          <c:cat>
            <c:strRef>
              <c:f>'09'!$C$16:$N$16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'09'!$C$18:$N$18</c:f>
              <c:numCache>
                <c:formatCode>0.0%</c:formatCode>
                <c:ptCount val="12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8C-4E83-8DF5-7C9B43DC33A4}"/>
            </c:ext>
          </c:extLst>
        </c:ser>
        <c:ser>
          <c:idx val="1"/>
          <c:order val="1"/>
          <c:tx>
            <c:strRef>
              <c:f>'09'!$A$19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'09'!$C$16:$N$16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'09'!$C$19:$N$19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8C-4E83-8DF5-7C9B43DC33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0198912"/>
        <c:axId val="300200704"/>
      </c:lineChart>
      <c:catAx>
        <c:axId val="3001989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lang="es-ES"/>
            </a:pPr>
            <a:endParaRPr lang="es-CO"/>
          </a:p>
        </c:txPr>
        <c:crossAx val="300200704"/>
        <c:crosses val="autoZero"/>
        <c:auto val="1"/>
        <c:lblAlgn val="ctr"/>
        <c:lblOffset val="100"/>
        <c:noMultiLvlLbl val="0"/>
      </c:catAx>
      <c:valAx>
        <c:axId val="300200704"/>
        <c:scaling>
          <c:orientation val="minMax"/>
        </c:scaling>
        <c:delete val="0"/>
        <c:axPos val="l"/>
        <c:majorGridlines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lang="es-ES"/>
            </a:pPr>
            <a:endParaRPr lang="es-CO"/>
          </a:p>
        </c:txPr>
        <c:crossAx val="30019891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866" l="0.70000000000000062" r="0.70000000000000062" t="0.75000000000000866" header="0.30000000000000032" footer="0.30000000000000032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4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857250</xdr:colOff>
      <xdr:row>0</xdr:row>
      <xdr:rowOff>47626</xdr:rowOff>
    </xdr:from>
    <xdr:to>
      <xdr:col>2</xdr:col>
      <xdr:colOff>609600</xdr:colOff>
      <xdr:row>3</xdr:row>
      <xdr:rowOff>104776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5AFBF8B-D2A1-46FA-BA52-F682D9EAF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475" y="47626"/>
          <a:ext cx="1000125" cy="5334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504825</xdr:colOff>
      <xdr:row>0</xdr:row>
      <xdr:rowOff>19050</xdr:rowOff>
    </xdr:from>
    <xdr:to>
      <xdr:col>1</xdr:col>
      <xdr:colOff>1504950</xdr:colOff>
      <xdr:row>3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BD76C79-78D7-47C1-85CD-81FA6F947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9050"/>
          <a:ext cx="1000125" cy="6191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4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3654804-ADC2-443A-907F-62DBAED1B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3</xdr:row>
      <xdr:rowOff>142875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470EF43-BF61-4B9A-B128-5B4B1CDC8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476250</xdr:colOff>
      <xdr:row>0</xdr:row>
      <xdr:rowOff>9525</xdr:rowOff>
    </xdr:from>
    <xdr:to>
      <xdr:col>1</xdr:col>
      <xdr:colOff>1476375</xdr:colOff>
      <xdr:row>3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EE9A658-C889-4A9F-B28F-DB49346F2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3425" y="9525"/>
          <a:ext cx="1000125" cy="6191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9525</xdr:rowOff>
    </xdr:from>
    <xdr:to>
      <xdr:col>1</xdr:col>
      <xdr:colOff>1495425</xdr:colOff>
      <xdr:row>3</xdr:row>
      <xdr:rowOff>114300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F40846C-D543-46D1-8F63-B86B0975E2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9525"/>
          <a:ext cx="1000125" cy="61912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3</xdr:row>
      <xdr:rowOff>161925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726C143-4321-4A50-8742-4EF769DD10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71</xdr:row>
      <xdr:rowOff>114300</xdr:rowOff>
    </xdr:from>
    <xdr:to>
      <xdr:col>4</xdr:col>
      <xdr:colOff>600075</xdr:colOff>
      <xdr:row>94</xdr:row>
      <xdr:rowOff>85725</xdr:rowOff>
    </xdr:to>
    <xdr:graphicFrame macro="">
      <xdr:nvGraphicFramePr>
        <xdr:cNvPr id="2" name="Chart 28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212035</xdr:colOff>
      <xdr:row>96</xdr:row>
      <xdr:rowOff>139146</xdr:rowOff>
    </xdr:from>
    <xdr:to>
      <xdr:col>4</xdr:col>
      <xdr:colOff>742950</xdr:colOff>
      <xdr:row>127</xdr:row>
      <xdr:rowOff>46383</xdr:rowOff>
    </xdr:to>
    <xdr:graphicFrame macro="">
      <xdr:nvGraphicFramePr>
        <xdr:cNvPr id="3" name="5 Gráfico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266700</xdr:colOff>
      <xdr:row>72</xdr:row>
      <xdr:rowOff>67917</xdr:rowOff>
    </xdr:from>
    <xdr:to>
      <xdr:col>12</xdr:col>
      <xdr:colOff>657225</xdr:colOff>
      <xdr:row>91</xdr:row>
      <xdr:rowOff>19050</xdr:rowOff>
    </xdr:to>
    <xdr:graphicFrame macro="">
      <xdr:nvGraphicFramePr>
        <xdr:cNvPr id="4" name="4 Gráfico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131</xdr:row>
      <xdr:rowOff>1</xdr:rowOff>
    </xdr:from>
    <xdr:to>
      <xdr:col>3</xdr:col>
      <xdr:colOff>637761</xdr:colOff>
      <xdr:row>158</xdr:row>
      <xdr:rowOff>124240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3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EC0CF05-C950-4362-8FE8-ED8F7CBA0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4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53D51A5-2D02-47F2-BC72-8F998C0757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27</xdr:row>
      <xdr:rowOff>171450</xdr:rowOff>
    </xdr:from>
    <xdr:to>
      <xdr:col>13</xdr:col>
      <xdr:colOff>276225</xdr:colOff>
      <xdr:row>27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4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319DF7C-609B-472E-B1EC-0072D8C957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27</xdr:row>
      <xdr:rowOff>171450</xdr:rowOff>
    </xdr:from>
    <xdr:to>
      <xdr:col>13</xdr:col>
      <xdr:colOff>276225</xdr:colOff>
      <xdr:row>27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3</xdr:row>
      <xdr:rowOff>171450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054C80E-C654-4460-96EB-CC72E74CE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4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CB6FA31-B8EE-42A9-B71E-0EB40814E5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3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9A197F6-0A80-482C-A264-8F285D11DB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495300</xdr:colOff>
      <xdr:row>0</xdr:row>
      <xdr:rowOff>66675</xdr:rowOff>
    </xdr:from>
    <xdr:to>
      <xdr:col>1</xdr:col>
      <xdr:colOff>1495425</xdr:colOff>
      <xdr:row>4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F682AB8-2D51-48BD-B744-5A38E68B5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66675"/>
          <a:ext cx="1000125" cy="6191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26</xdr:row>
      <xdr:rowOff>171450</xdr:rowOff>
    </xdr:from>
    <xdr:to>
      <xdr:col>13</xdr:col>
      <xdr:colOff>276225</xdr:colOff>
      <xdr:row>26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485775</xdr:colOff>
      <xdr:row>0</xdr:row>
      <xdr:rowOff>38100</xdr:rowOff>
    </xdr:from>
    <xdr:to>
      <xdr:col>1</xdr:col>
      <xdr:colOff>1485900</xdr:colOff>
      <xdr:row>3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4E649FF-EBE7-43EA-B5D4-63AA44EB68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38100"/>
          <a:ext cx="1000125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7"/>
  <sheetViews>
    <sheetView workbookViewId="0">
      <pane ySplit="7" topLeftCell="A8" activePane="bottomLeft" state="frozen"/>
      <selection activeCell="F1" sqref="F1"/>
      <selection pane="bottomLeft" activeCell="Y6" sqref="Y6"/>
    </sheetView>
  </sheetViews>
  <sheetFormatPr baseColWidth="10" defaultRowHeight="15" x14ac:dyDescent="0.25"/>
  <cols>
    <col min="1" max="1" width="4.140625" customWidth="1"/>
    <col min="2" max="2" width="18.7109375" customWidth="1"/>
    <col min="3" max="3" width="25.28515625" customWidth="1"/>
    <col min="4" max="4" width="19.7109375" customWidth="1"/>
    <col min="5" max="6" width="4.5703125" customWidth="1"/>
    <col min="7" max="7" width="8.7109375" customWidth="1"/>
    <col min="8" max="8" width="9.5703125" customWidth="1"/>
    <col min="9" max="9" width="10.5703125" customWidth="1"/>
    <col min="10" max="10" width="3.140625" customWidth="1"/>
    <col min="11" max="11" width="3" customWidth="1"/>
    <col min="12" max="12" width="4" customWidth="1"/>
    <col min="13" max="24" width="4.28515625" customWidth="1"/>
    <col min="25" max="25" width="6.7109375" customWidth="1"/>
    <col min="26" max="26" width="11.42578125" hidden="1" customWidth="1"/>
    <col min="27" max="27" width="0" hidden="1" customWidth="1"/>
    <col min="29" max="30" width="11.42578125" customWidth="1"/>
  </cols>
  <sheetData>
    <row r="1" spans="1:24" ht="12" customHeight="1" thickTop="1" x14ac:dyDescent="0.25">
      <c r="A1" s="164"/>
      <c r="B1" s="165"/>
      <c r="C1" s="166"/>
      <c r="D1" s="298" t="s">
        <v>251</v>
      </c>
      <c r="E1" s="299"/>
      <c r="F1" s="299"/>
      <c r="G1" s="299"/>
      <c r="H1" s="299"/>
      <c r="I1" s="299"/>
      <c r="J1" s="299"/>
      <c r="K1" s="299"/>
      <c r="L1" s="299"/>
      <c r="M1" s="299"/>
      <c r="N1" s="299"/>
      <c r="O1" s="299"/>
      <c r="P1" s="299"/>
      <c r="Q1" s="299"/>
      <c r="R1" s="299"/>
      <c r="S1" s="299"/>
      <c r="T1" s="299"/>
      <c r="U1" s="299"/>
      <c r="V1" s="299"/>
      <c r="W1" s="299"/>
      <c r="X1" s="300"/>
    </row>
    <row r="2" spans="1:24" ht="12" customHeight="1" x14ac:dyDescent="0.25">
      <c r="A2" s="167"/>
      <c r="B2" s="168"/>
      <c r="C2" s="169"/>
      <c r="D2" s="161" t="s">
        <v>266</v>
      </c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  <c r="W2" s="162"/>
      <c r="X2" s="301"/>
    </row>
    <row r="3" spans="1:24" ht="13.5" customHeight="1" x14ac:dyDescent="0.25">
      <c r="A3" s="167"/>
      <c r="B3" s="168"/>
      <c r="C3" s="168"/>
      <c r="D3" s="302" t="s">
        <v>50</v>
      </c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4"/>
    </row>
    <row r="4" spans="1:24" ht="11.25" customHeight="1" thickBot="1" x14ac:dyDescent="0.3">
      <c r="A4" s="170"/>
      <c r="B4" s="171"/>
      <c r="C4" s="171"/>
      <c r="D4" s="305" t="s">
        <v>269</v>
      </c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7"/>
    </row>
    <row r="5" spans="1:24" ht="18" customHeight="1" thickTop="1" thickBot="1" x14ac:dyDescent="0.3">
      <c r="A5" s="175" t="s">
        <v>51</v>
      </c>
      <c r="B5" s="176"/>
      <c r="C5" s="176"/>
      <c r="D5" s="176"/>
      <c r="E5" s="176"/>
      <c r="F5" s="176"/>
      <c r="G5" s="176"/>
      <c r="H5" s="176"/>
      <c r="I5" s="176"/>
      <c r="J5" s="177" t="s">
        <v>170</v>
      </c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  <c r="V5" s="177"/>
      <c r="W5" s="177"/>
      <c r="X5" s="178"/>
    </row>
    <row r="6" spans="1:24" ht="30.75" customHeight="1" thickTop="1" thickBot="1" x14ac:dyDescent="0.3">
      <c r="A6" s="172" t="s">
        <v>1</v>
      </c>
      <c r="B6" s="172"/>
      <c r="C6" s="172" t="s">
        <v>2</v>
      </c>
      <c r="D6" s="172" t="s">
        <v>5</v>
      </c>
      <c r="E6" s="159" t="s">
        <v>40</v>
      </c>
      <c r="F6" s="159" t="s">
        <v>66</v>
      </c>
      <c r="G6" s="172" t="s">
        <v>6</v>
      </c>
      <c r="H6" s="172"/>
      <c r="I6" s="172"/>
      <c r="J6" s="173" t="s">
        <v>39</v>
      </c>
      <c r="K6" s="173" t="s">
        <v>270</v>
      </c>
      <c r="L6" s="174" t="s">
        <v>271</v>
      </c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</row>
    <row r="7" spans="1:24" s="1" customFormat="1" ht="31.5" customHeight="1" thickTop="1" thickBot="1" x14ac:dyDescent="0.25">
      <c r="A7" s="172"/>
      <c r="B7" s="172"/>
      <c r="C7" s="172"/>
      <c r="D7" s="172"/>
      <c r="E7" s="160"/>
      <c r="F7" s="160"/>
      <c r="G7" s="27" t="s">
        <v>7</v>
      </c>
      <c r="H7" s="28" t="s">
        <v>61</v>
      </c>
      <c r="I7" s="29" t="s">
        <v>62</v>
      </c>
      <c r="J7" s="173"/>
      <c r="K7" s="173"/>
      <c r="L7" s="26" t="s">
        <v>54</v>
      </c>
      <c r="M7" s="26" t="s">
        <v>8</v>
      </c>
      <c r="N7" s="26" t="s">
        <v>9</v>
      </c>
      <c r="O7" s="26" t="s">
        <v>10</v>
      </c>
      <c r="P7" s="26" t="s">
        <v>11</v>
      </c>
      <c r="Q7" s="26" t="s">
        <v>12</v>
      </c>
      <c r="R7" s="26" t="s">
        <v>13</v>
      </c>
      <c r="S7" s="26" t="s">
        <v>14</v>
      </c>
      <c r="T7" s="26" t="s">
        <v>15</v>
      </c>
      <c r="U7" s="26" t="s">
        <v>16</v>
      </c>
      <c r="V7" s="26" t="s">
        <v>17</v>
      </c>
      <c r="W7" s="26" t="s">
        <v>18</v>
      </c>
      <c r="X7" s="26" t="s">
        <v>19</v>
      </c>
    </row>
    <row r="8" spans="1:24" s="1" customFormat="1" ht="57.75" customHeight="1" thickTop="1" thickBot="1" x14ac:dyDescent="0.25">
      <c r="A8" s="36" t="s">
        <v>41</v>
      </c>
      <c r="B8" s="37" t="s">
        <v>98</v>
      </c>
      <c r="C8" s="33" t="s">
        <v>147</v>
      </c>
      <c r="D8" s="34" t="s">
        <v>105</v>
      </c>
      <c r="E8" s="24" t="s">
        <v>53</v>
      </c>
      <c r="F8" s="41" t="s">
        <v>79</v>
      </c>
      <c r="G8" s="42" t="s">
        <v>108</v>
      </c>
      <c r="H8" s="42" t="s">
        <v>107</v>
      </c>
      <c r="I8" s="42" t="s">
        <v>106</v>
      </c>
      <c r="J8" s="25">
        <v>0.8</v>
      </c>
      <c r="K8" s="25">
        <v>0.85</v>
      </c>
      <c r="L8" s="25">
        <f>'01'!$O$19</f>
        <v>0.63488854863806288</v>
      </c>
      <c r="M8" s="25">
        <f>'01'!$C$19</f>
        <v>0.79128997038958748</v>
      </c>
      <c r="N8" s="25">
        <f>'01'!$D$19</f>
        <v>0.84396313975296855</v>
      </c>
      <c r="O8" s="25">
        <f>'01'!$E$19</f>
        <v>0.78726940478465612</v>
      </c>
      <c r="P8" s="25">
        <f>'01'!$F$19</f>
        <v>0</v>
      </c>
      <c r="Q8" s="25" t="str">
        <f>'01'!$G$19</f>
        <v>-</v>
      </c>
      <c r="R8" s="25" t="str">
        <f>'01'!$H$19</f>
        <v>-</v>
      </c>
      <c r="S8" s="25" t="str">
        <f>'01'!$I$19</f>
        <v>-</v>
      </c>
      <c r="T8" s="25" t="str">
        <f>'01'!$J$19</f>
        <v>-</v>
      </c>
      <c r="U8" s="25" t="str">
        <f>'01'!$K$19</f>
        <v>-</v>
      </c>
      <c r="V8" s="25" t="str">
        <f>'01'!$L$19</f>
        <v>-</v>
      </c>
      <c r="W8" s="25" t="str">
        <f>'01'!$M$19</f>
        <v>-</v>
      </c>
      <c r="X8" s="25">
        <f>'01'!$N$19</f>
        <v>0.75859150881416448</v>
      </c>
    </row>
    <row r="9" spans="1:24" s="1" customFormat="1" ht="49.5" customHeight="1" thickTop="1" thickBot="1" x14ac:dyDescent="0.25">
      <c r="A9" s="36" t="s">
        <v>42</v>
      </c>
      <c r="B9" s="37" t="s">
        <v>99</v>
      </c>
      <c r="C9" s="33" t="s">
        <v>148</v>
      </c>
      <c r="D9" s="34" t="s">
        <v>109</v>
      </c>
      <c r="E9" s="24" t="s">
        <v>53</v>
      </c>
      <c r="F9" s="41" t="s">
        <v>79</v>
      </c>
      <c r="G9" s="42" t="s">
        <v>111</v>
      </c>
      <c r="H9" s="42" t="s">
        <v>110</v>
      </c>
      <c r="I9" s="42" t="s">
        <v>106</v>
      </c>
      <c r="J9" s="25">
        <v>0.79</v>
      </c>
      <c r="K9" s="25">
        <v>0.8</v>
      </c>
      <c r="L9" s="25">
        <f>'02'!$O$19</f>
        <v>0.65140292197548511</v>
      </c>
      <c r="M9" s="25">
        <f>'02'!$C$19</f>
        <v>0.78524154914646116</v>
      </c>
      <c r="N9" s="25">
        <f>'02'!$D$19</f>
        <v>0.85798651596720166</v>
      </c>
      <c r="O9" s="25">
        <f>'02'!$E$19</f>
        <v>0.82372880025152329</v>
      </c>
      <c r="P9" s="25">
        <f>'02'!$F$19</f>
        <v>0</v>
      </c>
      <c r="Q9" s="25" t="str">
        <f>'02'!$G$19</f>
        <v>-</v>
      </c>
      <c r="R9" s="25" t="str">
        <f>'02'!$H$19</f>
        <v>-</v>
      </c>
      <c r="S9" s="25" t="str">
        <f>'02'!$I$19</f>
        <v>-</v>
      </c>
      <c r="T9" s="25" t="str">
        <f>'02'!$J$19</f>
        <v>-</v>
      </c>
      <c r="U9" s="25" t="str">
        <f>'02'!$K$19</f>
        <v>-</v>
      </c>
      <c r="V9" s="25" t="str">
        <f>'02'!$L$19</f>
        <v>-</v>
      </c>
      <c r="W9" s="25" t="str">
        <f>'02'!$M$19</f>
        <v>-</v>
      </c>
      <c r="X9" s="25">
        <f>'02'!$N$19</f>
        <v>0.75676832265208194</v>
      </c>
    </row>
    <row r="10" spans="1:24" s="1" customFormat="1" ht="60" customHeight="1" thickTop="1" thickBot="1" x14ac:dyDescent="0.25">
      <c r="A10" s="36" t="s">
        <v>43</v>
      </c>
      <c r="B10" s="37" t="s">
        <v>179</v>
      </c>
      <c r="C10" s="33" t="s">
        <v>149</v>
      </c>
      <c r="D10" s="34" t="s">
        <v>113</v>
      </c>
      <c r="E10" s="24" t="s">
        <v>53</v>
      </c>
      <c r="F10" s="41" t="s">
        <v>79</v>
      </c>
      <c r="G10" s="42" t="s">
        <v>129</v>
      </c>
      <c r="H10" s="42" t="s">
        <v>128</v>
      </c>
      <c r="I10" s="42" t="s">
        <v>127</v>
      </c>
      <c r="J10" s="44">
        <v>7</v>
      </c>
      <c r="K10" s="44">
        <v>5</v>
      </c>
      <c r="L10" s="44">
        <f>'03'!$O$19</f>
        <v>13.269813356268136</v>
      </c>
      <c r="M10" s="44">
        <f>'03'!$C$19</f>
        <v>8.5293178898670963</v>
      </c>
      <c r="N10" s="44">
        <f>'03'!$D$19</f>
        <v>5.6986697840852631</v>
      </c>
      <c r="O10" s="44">
        <f>'03'!$E$19</f>
        <v>6.1063218512179658</v>
      </c>
      <c r="P10" s="44">
        <f>'03'!$F$19</f>
        <v>35.747767785383957</v>
      </c>
      <c r="Q10" s="44">
        <f>'03'!$G$19</f>
        <v>0</v>
      </c>
      <c r="R10" s="44">
        <f>'03'!$H$19</f>
        <v>0</v>
      </c>
      <c r="S10" s="44">
        <f>'03'!$I$19</f>
        <v>0</v>
      </c>
      <c r="T10" s="44">
        <f>'03'!$J$19</f>
        <v>0</v>
      </c>
      <c r="U10" s="44">
        <f>'03'!$K$19</f>
        <v>0</v>
      </c>
      <c r="V10" s="44">
        <f>'03'!$L$19</f>
        <v>0</v>
      </c>
      <c r="W10" s="44">
        <f>'03'!$M$19</f>
        <v>0</v>
      </c>
      <c r="X10" s="44">
        <f>'03'!$N$19</f>
        <v>22.376886351840373</v>
      </c>
    </row>
    <row r="11" spans="1:24" s="1" customFormat="1" ht="52.5" customHeight="1" thickTop="1" thickBot="1" x14ac:dyDescent="0.25">
      <c r="A11" s="36" t="s">
        <v>44</v>
      </c>
      <c r="B11" s="37" t="s">
        <v>180</v>
      </c>
      <c r="C11" s="33" t="s">
        <v>150</v>
      </c>
      <c r="D11" s="34" t="s">
        <v>114</v>
      </c>
      <c r="E11" s="24" t="s">
        <v>53</v>
      </c>
      <c r="F11" s="41" t="s">
        <v>79</v>
      </c>
      <c r="G11" s="42" t="s">
        <v>108</v>
      </c>
      <c r="H11" s="42" t="s">
        <v>107</v>
      </c>
      <c r="I11" s="42" t="s">
        <v>106</v>
      </c>
      <c r="J11" s="25">
        <v>0.92</v>
      </c>
      <c r="K11" s="25">
        <v>1</v>
      </c>
      <c r="L11" s="25" t="str">
        <f>'04'!$O$19</f>
        <v>-</v>
      </c>
      <c r="M11" s="25" t="str">
        <f>'04'!$C$19</f>
        <v>-</v>
      </c>
      <c r="N11" s="25" t="str">
        <f>'04'!$D$19</f>
        <v>-</v>
      </c>
      <c r="O11" s="25" t="str">
        <f>'04'!$E$19</f>
        <v>-</v>
      </c>
      <c r="P11" s="25" t="str">
        <f>'04'!$F$19</f>
        <v>-</v>
      </c>
      <c r="Q11" s="25" t="str">
        <f>'04'!$G$19</f>
        <v>-</v>
      </c>
      <c r="R11" s="25" t="str">
        <f>'04'!$H$19</f>
        <v>-</v>
      </c>
      <c r="S11" s="25" t="str">
        <f>'04'!$I$19</f>
        <v>-</v>
      </c>
      <c r="T11" s="25" t="str">
        <f>'04'!$J$19</f>
        <v>-</v>
      </c>
      <c r="U11" s="25" t="str">
        <f>'04'!$K$19</f>
        <v>-</v>
      </c>
      <c r="V11" s="25" t="str">
        <f>'04'!$L$19</f>
        <v>-</v>
      </c>
      <c r="W11" s="25" t="str">
        <f>'04'!$M$19</f>
        <v>-</v>
      </c>
      <c r="X11" s="25" t="str">
        <f>'04'!$N$19</f>
        <v>-</v>
      </c>
    </row>
    <row r="12" spans="1:24" s="1" customFormat="1" ht="60" customHeight="1" thickTop="1" thickBot="1" x14ac:dyDescent="0.25">
      <c r="A12" s="36" t="s">
        <v>45</v>
      </c>
      <c r="B12" s="37" t="s">
        <v>175</v>
      </c>
      <c r="C12" s="33" t="s">
        <v>152</v>
      </c>
      <c r="D12" s="34" t="s">
        <v>253</v>
      </c>
      <c r="E12" s="24" t="s">
        <v>53</v>
      </c>
      <c r="F12" s="41" t="s">
        <v>79</v>
      </c>
      <c r="G12" s="42" t="s">
        <v>108</v>
      </c>
      <c r="H12" s="42" t="s">
        <v>107</v>
      </c>
      <c r="I12" s="42" t="s">
        <v>106</v>
      </c>
      <c r="J12" s="25">
        <v>0.99</v>
      </c>
      <c r="K12" s="25">
        <v>1</v>
      </c>
      <c r="L12" s="25">
        <f>'05'!$O$19</f>
        <v>4.8525305410122161</v>
      </c>
      <c r="M12" s="25" t="str">
        <f>'05'!$C$19</f>
        <v>-</v>
      </c>
      <c r="N12" s="25" t="str">
        <f>'05'!$D$19</f>
        <v>-</v>
      </c>
      <c r="O12" s="25" t="str">
        <f>'05'!$E$19</f>
        <v>-</v>
      </c>
      <c r="P12" s="25" t="str">
        <f>'05'!$F$19</f>
        <v>-</v>
      </c>
      <c r="Q12" s="25" t="str">
        <f>'05'!$G$19</f>
        <v>-</v>
      </c>
      <c r="R12" s="25" t="str">
        <f>'05'!$H$19</f>
        <v>-</v>
      </c>
      <c r="S12" s="25" t="str">
        <f>'05'!$I$19</f>
        <v>-</v>
      </c>
      <c r="T12" s="25" t="str">
        <f>'05'!$J$19</f>
        <v>-</v>
      </c>
      <c r="U12" s="25" t="str">
        <f>'05'!$K$19</f>
        <v>-</v>
      </c>
      <c r="V12" s="25" t="str">
        <f>'05'!$L$19</f>
        <v>-</v>
      </c>
      <c r="W12" s="25" t="str">
        <f>'05'!$M$19</f>
        <v>-</v>
      </c>
      <c r="X12" s="25">
        <f>'05'!$N$19</f>
        <v>0.98167539267015702</v>
      </c>
    </row>
    <row r="13" spans="1:24" s="1" customFormat="1" ht="52.5" customHeight="1" thickTop="1" thickBot="1" x14ac:dyDescent="0.25">
      <c r="A13" s="36" t="s">
        <v>46</v>
      </c>
      <c r="B13" s="38" t="s">
        <v>176</v>
      </c>
      <c r="C13" s="33" t="s">
        <v>151</v>
      </c>
      <c r="D13" s="34" t="s">
        <v>254</v>
      </c>
      <c r="E13" s="24" t="s">
        <v>53</v>
      </c>
      <c r="F13" s="41" t="s">
        <v>79</v>
      </c>
      <c r="G13" s="42" t="s">
        <v>108</v>
      </c>
      <c r="H13" s="42" t="s">
        <v>107</v>
      </c>
      <c r="I13" s="42" t="s">
        <v>106</v>
      </c>
      <c r="J13" s="25">
        <v>0.97</v>
      </c>
      <c r="K13" s="25">
        <v>1</v>
      </c>
      <c r="L13" s="25">
        <f>'06'!$O$19</f>
        <v>4.7635253054101225</v>
      </c>
      <c r="M13" s="25" t="str">
        <f>'06'!$C$19</f>
        <v>-</v>
      </c>
      <c r="N13" s="25" t="str">
        <f>'06'!$D$19</f>
        <v>-</v>
      </c>
      <c r="O13" s="25" t="str">
        <f>'06'!$E$19</f>
        <v>-</v>
      </c>
      <c r="P13" s="25" t="str">
        <f>'06'!$F$19</f>
        <v>-</v>
      </c>
      <c r="Q13" s="25" t="str">
        <f>'06'!$G$19</f>
        <v>-</v>
      </c>
      <c r="R13" s="25" t="str">
        <f>'06'!$H$19</f>
        <v>-</v>
      </c>
      <c r="S13" s="25" t="str">
        <f>'06'!$I$19</f>
        <v>-</v>
      </c>
      <c r="T13" s="25" t="str">
        <f>'06'!$J$19</f>
        <v>-</v>
      </c>
      <c r="U13" s="25" t="str">
        <f>'06'!$K$19</f>
        <v>-</v>
      </c>
      <c r="V13" s="25" t="str">
        <f>'06'!$L$19</f>
        <v>-</v>
      </c>
      <c r="W13" s="25" t="str">
        <f>'06'!$M$19</f>
        <v>-</v>
      </c>
      <c r="X13" s="25">
        <f>'06'!$N$19</f>
        <v>0.96247818499127402</v>
      </c>
    </row>
    <row r="14" spans="1:24" s="1" customFormat="1" ht="48.75" customHeight="1" thickTop="1" thickBot="1" x14ac:dyDescent="0.25">
      <c r="A14" s="36" t="s">
        <v>47</v>
      </c>
      <c r="B14" s="37" t="s">
        <v>177</v>
      </c>
      <c r="C14" s="33" t="s">
        <v>153</v>
      </c>
      <c r="D14" s="34" t="s">
        <v>115</v>
      </c>
      <c r="E14" s="24" t="s">
        <v>53</v>
      </c>
      <c r="F14" s="41" t="s">
        <v>79</v>
      </c>
      <c r="G14" s="42" t="s">
        <v>108</v>
      </c>
      <c r="H14" s="42" t="s">
        <v>107</v>
      </c>
      <c r="I14" s="42" t="s">
        <v>106</v>
      </c>
      <c r="J14" s="25">
        <v>0.97</v>
      </c>
      <c r="K14" s="25">
        <v>1</v>
      </c>
      <c r="L14" s="25" t="str">
        <f>'07'!$O$19</f>
        <v>-</v>
      </c>
      <c r="M14" s="25" t="str">
        <f>'07'!$C$19</f>
        <v>-</v>
      </c>
      <c r="N14" s="25" t="str">
        <f>'07'!$D$19</f>
        <v>-</v>
      </c>
      <c r="O14" s="25" t="str">
        <f>'07'!$E$19</f>
        <v>-</v>
      </c>
      <c r="P14" s="25" t="str">
        <f>'07'!$F$19</f>
        <v>-</v>
      </c>
      <c r="Q14" s="25" t="str">
        <f>'07'!$G$19</f>
        <v>-</v>
      </c>
      <c r="R14" s="25" t="str">
        <f>'07'!$H$19</f>
        <v>-</v>
      </c>
      <c r="S14" s="25" t="str">
        <f>'07'!$I$19</f>
        <v>-</v>
      </c>
      <c r="T14" s="25" t="str">
        <f>'07'!$J$19</f>
        <v>-</v>
      </c>
      <c r="U14" s="25" t="str">
        <f>'07'!$K$19</f>
        <v>-</v>
      </c>
      <c r="V14" s="25" t="str">
        <f>'07'!$L$19</f>
        <v>-</v>
      </c>
      <c r="W14" s="25" t="str">
        <f>'07'!$M$19</f>
        <v>-</v>
      </c>
      <c r="X14" s="25">
        <f>'07'!$N$19</f>
        <v>0.9511343804537522</v>
      </c>
    </row>
    <row r="15" spans="1:24" s="1" customFormat="1" ht="47.25" customHeight="1" thickTop="1" thickBot="1" x14ac:dyDescent="0.25">
      <c r="A15" s="36" t="s">
        <v>48</v>
      </c>
      <c r="B15" s="37" t="s">
        <v>100</v>
      </c>
      <c r="C15" s="33" t="s">
        <v>155</v>
      </c>
      <c r="D15" s="34" t="s">
        <v>255</v>
      </c>
      <c r="E15" s="24" t="s">
        <v>53</v>
      </c>
      <c r="F15" s="41" t="s">
        <v>79</v>
      </c>
      <c r="G15" s="42" t="s">
        <v>108</v>
      </c>
      <c r="H15" s="42" t="s">
        <v>107</v>
      </c>
      <c r="I15" s="42" t="s">
        <v>106</v>
      </c>
      <c r="J15" s="25">
        <v>0.98</v>
      </c>
      <c r="K15" s="25">
        <v>0.9</v>
      </c>
      <c r="L15" s="25">
        <f>'08'!$O$19</f>
        <v>0.87951807228915657</v>
      </c>
      <c r="M15" s="25">
        <f>'08'!$C$19</f>
        <v>0.88288288288288286</v>
      </c>
      <c r="N15" s="25">
        <f>'08'!$D$19</f>
        <v>0.87917042380522992</v>
      </c>
      <c r="O15" s="25">
        <f>'08'!$E$19</f>
        <v>0.90450450450450448</v>
      </c>
      <c r="P15" s="25">
        <f>'08'!$F$19</f>
        <v>0.90785907859078596</v>
      </c>
      <c r="Q15" s="25" t="str">
        <f>'08'!$G$19</f>
        <v>-</v>
      </c>
      <c r="R15" s="25" t="str">
        <f>'08'!$H$19</f>
        <v>-</v>
      </c>
      <c r="S15" s="25" t="str">
        <f>'08'!$I$19</f>
        <v>-</v>
      </c>
      <c r="T15" s="25" t="str">
        <f>'08'!$J$19</f>
        <v>-</v>
      </c>
      <c r="U15" s="25" t="str">
        <f>'08'!$K$19</f>
        <v>-</v>
      </c>
      <c r="V15" s="25" t="str">
        <f>'08'!$L$19</f>
        <v>-</v>
      </c>
      <c r="W15" s="25" t="str">
        <f>'08'!$M$19</f>
        <v>-</v>
      </c>
      <c r="X15" s="25">
        <f>'08'!$N$19</f>
        <v>0.82399999999999995</v>
      </c>
    </row>
    <row r="16" spans="1:24" ht="49.5" customHeight="1" thickTop="1" thickBot="1" x14ac:dyDescent="0.3">
      <c r="A16" s="36" t="s">
        <v>49</v>
      </c>
      <c r="B16" s="37" t="s">
        <v>101</v>
      </c>
      <c r="C16" s="33" t="s">
        <v>160</v>
      </c>
      <c r="D16" s="34" t="s">
        <v>116</v>
      </c>
      <c r="E16" s="24" t="s">
        <v>53</v>
      </c>
      <c r="F16" s="41" t="s">
        <v>79</v>
      </c>
      <c r="G16" s="42" t="s">
        <v>119</v>
      </c>
      <c r="H16" s="42" t="s">
        <v>118</v>
      </c>
      <c r="I16" s="42" t="s">
        <v>117</v>
      </c>
      <c r="J16" s="25">
        <v>0.05</v>
      </c>
      <c r="K16" s="25">
        <v>0.05</v>
      </c>
      <c r="L16" s="25" t="str">
        <f>'09'!$O$19</f>
        <v>-</v>
      </c>
      <c r="M16" s="25" t="str">
        <f>'09'!$C$19</f>
        <v>-</v>
      </c>
      <c r="N16" s="25" t="str">
        <f>'09'!$D$19</f>
        <v>-</v>
      </c>
      <c r="O16" s="25" t="str">
        <f>'09'!$E$19</f>
        <v>-</v>
      </c>
      <c r="P16" s="25" t="str">
        <f>'09'!$F$19</f>
        <v>-</v>
      </c>
      <c r="Q16" s="25" t="str">
        <f>'09'!$G$19</f>
        <v>-</v>
      </c>
      <c r="R16" s="25" t="str">
        <f>'09'!$H$19</f>
        <v>-</v>
      </c>
      <c r="S16" s="25" t="str">
        <f>'09'!$I$19</f>
        <v>-</v>
      </c>
      <c r="T16" s="25" t="str">
        <f>'09'!$J$19</f>
        <v>-</v>
      </c>
      <c r="U16" s="25" t="str">
        <f>'09'!$K$19</f>
        <v>-</v>
      </c>
      <c r="V16" s="25" t="str">
        <f>'09'!$L$19</f>
        <v>-</v>
      </c>
      <c r="W16" s="25" t="str">
        <f>'09'!$M$19</f>
        <v>-</v>
      </c>
      <c r="X16" s="25" t="str">
        <f>'09'!$N$19</f>
        <v>-</v>
      </c>
    </row>
    <row r="17" spans="1:26" ht="48.75" customHeight="1" thickTop="1" thickBot="1" x14ac:dyDescent="0.3">
      <c r="A17" s="36" t="s">
        <v>94</v>
      </c>
      <c r="B17" s="37" t="s">
        <v>102</v>
      </c>
      <c r="C17" s="33" t="s">
        <v>154</v>
      </c>
      <c r="D17" s="34" t="s">
        <v>120</v>
      </c>
      <c r="E17" s="24" t="s">
        <v>53</v>
      </c>
      <c r="F17" s="41" t="s">
        <v>79</v>
      </c>
      <c r="G17" s="42" t="s">
        <v>123</v>
      </c>
      <c r="H17" s="42" t="s">
        <v>122</v>
      </c>
      <c r="I17" s="42" t="s">
        <v>121</v>
      </c>
      <c r="J17" s="25">
        <v>0.63</v>
      </c>
      <c r="K17" s="25">
        <v>0.5</v>
      </c>
      <c r="L17" s="25">
        <f>'10'!$O$19</f>
        <v>0.33501326018208827</v>
      </c>
      <c r="M17" s="25">
        <f>'10'!$C$19</f>
        <v>0.53617641698560237</v>
      </c>
      <c r="N17" s="25">
        <f>'10'!$D$19</f>
        <v>0.33127753303964758</v>
      </c>
      <c r="O17" s="25">
        <f>'10'!$E$19</f>
        <v>0.52963985049079543</v>
      </c>
      <c r="P17" s="25" t="e">
        <f>'10'!$F$19</f>
        <v>#DIV/0!</v>
      </c>
      <c r="Q17" s="25" t="str">
        <f>'10'!$G$19</f>
        <v>-</v>
      </c>
      <c r="R17" s="25" t="str">
        <f>'10'!$H$19</f>
        <v>-</v>
      </c>
      <c r="S17" s="25" t="str">
        <f>'10'!$I$19</f>
        <v>-</v>
      </c>
      <c r="T17" s="25" t="str">
        <f>'10'!$J$19</f>
        <v>-</v>
      </c>
      <c r="U17" s="25" t="str">
        <f>'10'!$K$19</f>
        <v>-</v>
      </c>
      <c r="V17" s="25" t="str">
        <f>'10'!$L$19</f>
        <v>-</v>
      </c>
      <c r="W17" s="25" t="str">
        <f>'10'!$M$19</f>
        <v>-</v>
      </c>
      <c r="X17" s="25">
        <f>'10'!$N$19</f>
        <v>0.5074739829706717</v>
      </c>
    </row>
    <row r="18" spans="1:26" ht="47.25" customHeight="1" thickTop="1" thickBot="1" x14ac:dyDescent="0.3">
      <c r="A18" s="36" t="s">
        <v>95</v>
      </c>
      <c r="B18" s="37" t="s">
        <v>178</v>
      </c>
      <c r="C18" s="33" t="s">
        <v>156</v>
      </c>
      <c r="D18" s="34" t="s">
        <v>169</v>
      </c>
      <c r="E18" s="24" t="s">
        <v>53</v>
      </c>
      <c r="F18" s="41" t="s">
        <v>79</v>
      </c>
      <c r="G18" s="42" t="s">
        <v>108</v>
      </c>
      <c r="H18" s="42" t="s">
        <v>107</v>
      </c>
      <c r="I18" s="42" t="s">
        <v>106</v>
      </c>
      <c r="J18" s="25">
        <v>0.98</v>
      </c>
      <c r="K18" s="25">
        <v>0.99</v>
      </c>
      <c r="L18" s="25">
        <f>'11'!$O$19</f>
        <v>1</v>
      </c>
      <c r="M18" s="25">
        <f>'11'!$C$19</f>
        <v>1</v>
      </c>
      <c r="N18" s="25">
        <f>'11'!$D$19</f>
        <v>1</v>
      </c>
      <c r="O18" s="25">
        <f>'11'!$E$19</f>
        <v>1</v>
      </c>
      <c r="P18" s="25">
        <f>'11'!$F$19</f>
        <v>1</v>
      </c>
      <c r="Q18" s="25">
        <f>'11'!$G$19</f>
        <v>1</v>
      </c>
      <c r="R18" s="25">
        <f>'11'!$H$19</f>
        <v>1</v>
      </c>
      <c r="S18" s="25">
        <f>'11'!$I$19</f>
        <v>1</v>
      </c>
      <c r="T18" s="25">
        <f>'11'!$J$19</f>
        <v>1</v>
      </c>
      <c r="U18" s="25">
        <f>'11'!$K$19</f>
        <v>1</v>
      </c>
      <c r="V18" s="25">
        <f>'11'!$L$19</f>
        <v>1</v>
      </c>
      <c r="W18" s="25">
        <f>'11'!$M$19</f>
        <v>1</v>
      </c>
      <c r="X18" s="25">
        <f>'11'!$N$19</f>
        <v>1</v>
      </c>
      <c r="Y18" s="48"/>
    </row>
    <row r="19" spans="1:26" ht="48.75" customHeight="1" thickTop="1" thickBot="1" x14ac:dyDescent="0.3">
      <c r="A19" s="36" t="s">
        <v>96</v>
      </c>
      <c r="B19" s="37" t="s">
        <v>103</v>
      </c>
      <c r="C19" s="33" t="s">
        <v>157</v>
      </c>
      <c r="D19" s="34" t="s">
        <v>256</v>
      </c>
      <c r="E19" s="24" t="s">
        <v>65</v>
      </c>
      <c r="F19" s="41" t="s">
        <v>79</v>
      </c>
      <c r="G19" s="42" t="s">
        <v>126</v>
      </c>
      <c r="H19" s="42" t="s">
        <v>125</v>
      </c>
      <c r="I19" s="42" t="s">
        <v>124</v>
      </c>
      <c r="J19" s="25">
        <v>1</v>
      </c>
      <c r="K19" s="25">
        <v>1</v>
      </c>
      <c r="L19" s="25" t="str">
        <f>'12'!$O$19</f>
        <v>-</v>
      </c>
      <c r="M19" s="25" t="str">
        <f>'12'!$C$19</f>
        <v>-</v>
      </c>
      <c r="N19" s="25" t="str">
        <f>'12'!$D$19</f>
        <v>-</v>
      </c>
      <c r="O19" s="25" t="str">
        <f>'12'!$E$19</f>
        <v>-</v>
      </c>
      <c r="P19" s="25" t="str">
        <f>'12'!$F$19</f>
        <v>-</v>
      </c>
      <c r="Q19" s="25" t="str">
        <f>'12'!$G$19</f>
        <v>-</v>
      </c>
      <c r="R19" s="25" t="str">
        <f>'12'!$H$19</f>
        <v>-</v>
      </c>
      <c r="S19" s="25" t="str">
        <f>'12'!$I$19</f>
        <v>-</v>
      </c>
      <c r="T19" s="25" t="str">
        <f>'12'!$J$19</f>
        <v>-</v>
      </c>
      <c r="U19" s="25" t="str">
        <f>'12'!$K$19</f>
        <v>-</v>
      </c>
      <c r="V19" s="25" t="str">
        <f>'12'!$L$19</f>
        <v>-</v>
      </c>
      <c r="W19" s="25" t="str">
        <f>'12'!$M$19</f>
        <v>-</v>
      </c>
      <c r="X19" s="25" t="str">
        <f>'12'!$N$19</f>
        <v>-</v>
      </c>
    </row>
    <row r="20" spans="1:26" ht="48.75" customHeight="1" thickTop="1" thickBot="1" x14ac:dyDescent="0.3">
      <c r="A20" s="36" t="s">
        <v>97</v>
      </c>
      <c r="B20" s="37" t="s">
        <v>161</v>
      </c>
      <c r="C20" s="33" t="s">
        <v>162</v>
      </c>
      <c r="D20" s="34" t="s">
        <v>257</v>
      </c>
      <c r="E20" s="24" t="s">
        <v>53</v>
      </c>
      <c r="F20" s="41" t="s">
        <v>79</v>
      </c>
      <c r="G20" s="42" t="s">
        <v>163</v>
      </c>
      <c r="H20" s="42" t="s">
        <v>164</v>
      </c>
      <c r="I20" s="42" t="s">
        <v>165</v>
      </c>
      <c r="J20" s="25" t="s">
        <v>265</v>
      </c>
      <c r="K20" s="25" t="s">
        <v>265</v>
      </c>
      <c r="L20" s="25">
        <f>'13'!$O$19</f>
        <v>1.6184139543247618E-3</v>
      </c>
      <c r="M20" s="25">
        <f>'13'!$C$19</f>
        <v>2.7027027027027029E-3</v>
      </c>
      <c r="N20" s="25">
        <f>'13'!$D$19</f>
        <v>2.7051397655545538E-3</v>
      </c>
      <c r="O20" s="25">
        <f>'13'!$E$19</f>
        <v>0</v>
      </c>
      <c r="P20" s="25">
        <f>'13'!$F$19</f>
        <v>0</v>
      </c>
      <c r="Q20" s="25" t="str">
        <f>'13'!$G$19</f>
        <v>-</v>
      </c>
      <c r="R20" s="25" t="str">
        <f>'13'!$H$19</f>
        <v>-</v>
      </c>
      <c r="S20" s="25" t="str">
        <f>'13'!$I$19</f>
        <v>-</v>
      </c>
      <c r="T20" s="25" t="str">
        <f>'13'!$J$19</f>
        <v>-</v>
      </c>
      <c r="U20" s="25" t="str">
        <f>'13'!$K$19</f>
        <v>-</v>
      </c>
      <c r="V20" s="25" t="str">
        <f>'13'!$L$19</f>
        <v>-</v>
      </c>
      <c r="W20" s="25" t="str">
        <f>'13'!$M$19</f>
        <v>-</v>
      </c>
      <c r="X20" s="25">
        <f>'13'!$N$19</f>
        <v>2.6666666666666666E-3</v>
      </c>
    </row>
    <row r="21" spans="1:26" ht="49.5" customHeight="1" thickTop="1" thickBot="1" x14ac:dyDescent="0.3">
      <c r="A21" s="36" t="s">
        <v>159</v>
      </c>
      <c r="B21" s="37" t="s">
        <v>104</v>
      </c>
      <c r="C21" s="33" t="s">
        <v>158</v>
      </c>
      <c r="D21" s="34" t="s">
        <v>146</v>
      </c>
      <c r="E21" s="24" t="s">
        <v>53</v>
      </c>
      <c r="F21" s="41" t="s">
        <v>79</v>
      </c>
      <c r="G21" s="42" t="s">
        <v>126</v>
      </c>
      <c r="H21" s="42" t="s">
        <v>125</v>
      </c>
      <c r="I21" s="42" t="s">
        <v>124</v>
      </c>
      <c r="J21" s="25">
        <v>0.98</v>
      </c>
      <c r="K21" s="25">
        <v>1</v>
      </c>
      <c r="L21" s="25" t="str">
        <f>'14'!$O$19</f>
        <v>-</v>
      </c>
      <c r="M21" s="25" t="str">
        <f>'14'!$C$19</f>
        <v>-</v>
      </c>
      <c r="N21" s="25" t="str">
        <f>'14'!$D$19</f>
        <v>-</v>
      </c>
      <c r="O21" s="25" t="str">
        <f>'14'!$E$19</f>
        <v>-</v>
      </c>
      <c r="P21" s="25" t="str">
        <f>'14'!$F$19</f>
        <v>-</v>
      </c>
      <c r="Q21" s="25" t="str">
        <f>'14'!$G$19</f>
        <v>-</v>
      </c>
      <c r="R21" s="25" t="str">
        <f>'14'!$H$19</f>
        <v>-</v>
      </c>
      <c r="S21" s="25" t="str">
        <f>'14'!$I$19</f>
        <v>-</v>
      </c>
      <c r="T21" s="25" t="str">
        <f>'14'!$J$19</f>
        <v>-</v>
      </c>
      <c r="U21" s="25" t="str">
        <f>'14'!$K$19</f>
        <v>-</v>
      </c>
      <c r="V21" s="25" t="str">
        <f>'14'!$L$19</f>
        <v>-</v>
      </c>
      <c r="W21" s="25" t="str">
        <f>'14'!$M$19</f>
        <v>-</v>
      </c>
      <c r="X21" s="25">
        <f>'14'!$N$19</f>
        <v>0.9511343804537522</v>
      </c>
    </row>
    <row r="22" spans="1:26" ht="6.75" customHeight="1" thickTop="1" x14ac:dyDescent="0.25">
      <c r="A22" s="163"/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</row>
    <row r="24" spans="1:26" x14ac:dyDescent="0.25">
      <c r="Z24" s="40" t="s">
        <v>67</v>
      </c>
    </row>
    <row r="25" spans="1:26" x14ac:dyDescent="0.25">
      <c r="Z25" s="40" t="s">
        <v>68</v>
      </c>
    </row>
    <row r="26" spans="1:26" x14ac:dyDescent="0.25">
      <c r="Z26" s="40" t="s">
        <v>69</v>
      </c>
    </row>
    <row r="27" spans="1:26" x14ac:dyDescent="0.25">
      <c r="Z27" s="40" t="s">
        <v>70</v>
      </c>
    </row>
    <row r="28" spans="1:26" x14ac:dyDescent="0.25">
      <c r="Z28" s="40" t="s">
        <v>71</v>
      </c>
    </row>
    <row r="29" spans="1:26" x14ac:dyDescent="0.25">
      <c r="Z29" s="40" t="s">
        <v>72</v>
      </c>
    </row>
    <row r="30" spans="1:26" x14ac:dyDescent="0.25">
      <c r="Z30" s="40" t="s">
        <v>73</v>
      </c>
    </row>
    <row r="31" spans="1:26" x14ac:dyDescent="0.25">
      <c r="Z31" s="40" t="s">
        <v>74</v>
      </c>
    </row>
    <row r="32" spans="1:26" x14ac:dyDescent="0.25">
      <c r="Z32" s="40" t="s">
        <v>170</v>
      </c>
    </row>
    <row r="33" spans="26:26" x14ac:dyDescent="0.25">
      <c r="Z33" s="40" t="s">
        <v>75</v>
      </c>
    </row>
    <row r="34" spans="26:26" x14ac:dyDescent="0.25">
      <c r="Z34" s="40" t="s">
        <v>76</v>
      </c>
    </row>
    <row r="35" spans="26:26" x14ac:dyDescent="0.25">
      <c r="Z35" s="40" t="s">
        <v>77</v>
      </c>
    </row>
    <row r="36" spans="26:26" x14ac:dyDescent="0.25">
      <c r="Z36" s="40" t="s">
        <v>78</v>
      </c>
    </row>
    <row r="38" spans="26:26" x14ac:dyDescent="0.25">
      <c r="Z38" s="40" t="s">
        <v>79</v>
      </c>
    </row>
    <row r="39" spans="26:26" x14ac:dyDescent="0.25">
      <c r="Z39" s="40" t="s">
        <v>56</v>
      </c>
    </row>
    <row r="40" spans="26:26" x14ac:dyDescent="0.25">
      <c r="Z40" s="40" t="s">
        <v>57</v>
      </c>
    </row>
    <row r="42" spans="26:26" x14ac:dyDescent="0.25">
      <c r="Z42" s="39" t="s">
        <v>4</v>
      </c>
    </row>
    <row r="43" spans="26:26" x14ac:dyDescent="0.25">
      <c r="Z43" s="39" t="s">
        <v>63</v>
      </c>
    </row>
    <row r="44" spans="26:26" x14ac:dyDescent="0.25">
      <c r="Z44" s="39" t="s">
        <v>53</v>
      </c>
    </row>
    <row r="45" spans="26:26" x14ac:dyDescent="0.25">
      <c r="Z45" s="39" t="s">
        <v>64</v>
      </c>
    </row>
    <row r="46" spans="26:26" x14ac:dyDescent="0.25">
      <c r="Z46" s="39" t="s">
        <v>65</v>
      </c>
    </row>
    <row r="47" spans="26:26" x14ac:dyDescent="0.25">
      <c r="Z47" s="39" t="s">
        <v>52</v>
      </c>
    </row>
  </sheetData>
  <mergeCells count="17">
    <mergeCell ref="J5:X5"/>
    <mergeCell ref="F6:F7"/>
    <mergeCell ref="D2:X2"/>
    <mergeCell ref="D3:X3"/>
    <mergeCell ref="A22:X22"/>
    <mergeCell ref="D1:X1"/>
    <mergeCell ref="D4:X4"/>
    <mergeCell ref="A1:C4"/>
    <mergeCell ref="A6:B7"/>
    <mergeCell ref="J6:J7"/>
    <mergeCell ref="K6:K7"/>
    <mergeCell ref="L6:X6"/>
    <mergeCell ref="C6:C7"/>
    <mergeCell ref="D6:D7"/>
    <mergeCell ref="E6:E7"/>
    <mergeCell ref="G6:I6"/>
    <mergeCell ref="A5:I5"/>
  </mergeCells>
  <conditionalFormatting sqref="L8:X8">
    <cfRule type="cellIs" dxfId="26" priority="1" operator="between">
      <formula>0.8</formula>
      <formula>1000000</formula>
    </cfRule>
    <cfRule type="cellIs" dxfId="25" priority="2" operator="between">
      <formula>0.59</formula>
      <formula>0.7999</formula>
    </cfRule>
    <cfRule type="cellIs" dxfId="24" priority="3" operator="lessThan">
      <formula>0.59</formula>
    </cfRule>
  </conditionalFormatting>
  <conditionalFormatting sqref="L9:X9">
    <cfRule type="cellIs" dxfId="23" priority="28" operator="between">
      <formula>0.71</formula>
      <formula>100000</formula>
    </cfRule>
    <cfRule type="cellIs" dxfId="22" priority="29" operator="between">
      <formula>0.6</formula>
      <formula>0.709</formula>
    </cfRule>
    <cfRule type="cellIs" dxfId="21" priority="30" operator="between">
      <formula>0</formula>
      <formula>0.599</formula>
    </cfRule>
  </conditionalFormatting>
  <conditionalFormatting sqref="L10:X10">
    <cfRule type="cellIs" dxfId="20" priority="25" operator="between">
      <formula>45</formula>
      <formula>1000000000</formula>
    </cfRule>
    <cfRule type="cellIs" dxfId="19" priority="26" operator="between">
      <formula>31</formula>
      <formula>44.9</formula>
    </cfRule>
    <cfRule type="cellIs" dxfId="18" priority="27" operator="between">
      <formula>0</formula>
      <formula>30.9</formula>
    </cfRule>
  </conditionalFormatting>
  <conditionalFormatting sqref="L11:X15">
    <cfRule type="cellIs" dxfId="17" priority="22" operator="between">
      <formula>0.8</formula>
      <formula>10000000</formula>
    </cfRule>
    <cfRule type="cellIs" dxfId="16" priority="23" operator="between">
      <formula>0.6</formula>
      <formula>0.799</formula>
    </cfRule>
    <cfRule type="cellIs" dxfId="15" priority="24" operator="between">
      <formula>0</formula>
      <formula>0.599</formula>
    </cfRule>
  </conditionalFormatting>
  <conditionalFormatting sqref="L16:X16">
    <cfRule type="cellIs" dxfId="14" priority="19" operator="between">
      <formula>0.081</formula>
      <formula>100000000</formula>
    </cfRule>
    <cfRule type="cellIs" dxfId="13" priority="20" operator="between">
      <formula>0.05</formula>
      <formula>0.08</formula>
    </cfRule>
    <cfRule type="cellIs" dxfId="12" priority="21" operator="between">
      <formula>0</formula>
      <formula>0.049</formula>
    </cfRule>
  </conditionalFormatting>
  <conditionalFormatting sqref="L17:X17">
    <cfRule type="cellIs" dxfId="11" priority="16" operator="between">
      <formula>0.501</formula>
      <formula>1000000</formula>
    </cfRule>
    <cfRule type="cellIs" dxfId="10" priority="17" operator="between">
      <formula>0.3</formula>
      <formula>0.5</formula>
    </cfRule>
    <cfRule type="cellIs" dxfId="9" priority="18" operator="between">
      <formula>0</formula>
      <formula>0.299</formula>
    </cfRule>
  </conditionalFormatting>
  <conditionalFormatting sqref="L18:X18">
    <cfRule type="cellIs" dxfId="8" priority="13" operator="between">
      <formula>0.8</formula>
      <formula>1000000</formula>
    </cfRule>
    <cfRule type="cellIs" dxfId="7" priority="14" operator="between">
      <formula>0.6</formula>
      <formula>0.799</formula>
    </cfRule>
    <cfRule type="cellIs" dxfId="6" priority="15" operator="between">
      <formula>0</formula>
      <formula>0.599</formula>
    </cfRule>
  </conditionalFormatting>
  <conditionalFormatting sqref="L19:X19 L21:X21">
    <cfRule type="cellIs" dxfId="5" priority="10" operator="between">
      <formula>0.91</formula>
      <formula>10000000</formula>
    </cfRule>
    <cfRule type="cellIs" dxfId="4" priority="11" operator="between">
      <formula>0.71</formula>
      <formula>0.909</formula>
    </cfRule>
    <cfRule type="cellIs" dxfId="3" priority="12" operator="between">
      <formula>0</formula>
      <formula>0.709</formula>
    </cfRule>
  </conditionalFormatting>
  <conditionalFormatting sqref="L20:X20">
    <cfRule type="cellIs" dxfId="2" priority="4" operator="between">
      <formula>0.201</formula>
      <formula>1000000</formula>
    </cfRule>
    <cfRule type="cellIs" dxfId="1" priority="5" operator="between">
      <formula>0.101</formula>
      <formula>0.2</formula>
    </cfRule>
    <cfRule type="cellIs" dxfId="0" priority="6" operator="between">
      <formula>0</formula>
      <formula>0.1</formula>
    </cfRule>
  </conditionalFormatting>
  <dataValidations count="3">
    <dataValidation type="list" allowBlank="1" showInputMessage="1" showErrorMessage="1" sqref="E8:E21" xr:uid="{00000000-0002-0000-0000-000000000000}">
      <formula1>$Z$42:$Z$47</formula1>
    </dataValidation>
    <dataValidation type="list" allowBlank="1" showInputMessage="1" showErrorMessage="1" sqref="J5:X5" xr:uid="{00000000-0002-0000-0000-000001000000}">
      <formula1>$Z$24:$Z$36</formula1>
    </dataValidation>
    <dataValidation type="list" allowBlank="1" showInputMessage="1" showErrorMessage="1" sqref="F8:F21" xr:uid="{00000000-0002-0000-0000-000002000000}">
      <formula1>$Z$38:$Z$40</formula1>
    </dataValidation>
  </dataValidations>
  <pageMargins left="0.27559055118110237" right="0.27559055118110237" top="0.19685039370078741" bottom="0.19685039370078741" header="0.31496062992125984" footer="0.11811023622047245"/>
  <pageSetup scale="75" orientation="landscape" horizontalDpi="4294967294" verticalDpi="4294967294" r:id="rId1"/>
  <headerFooter>
    <oddFooter>&amp;R&amp;8Diseñado por: Wilson Andrade González</oddFooter>
  </headerFooter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X61"/>
  <sheetViews>
    <sheetView topLeftCell="A27"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6.5703125" style="2" customWidth="1"/>
    <col min="17" max="18" width="6.5703125" style="2" hidden="1" customWidth="1"/>
    <col min="19" max="19" width="6.5703125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2.75" customHeight="1" x14ac:dyDescent="0.25">
      <c r="A1" s="195"/>
      <c r="B1" s="196"/>
      <c r="C1" s="196"/>
      <c r="D1" s="179" t="s">
        <v>251</v>
      </c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1"/>
    </row>
    <row r="2" spans="1:24" ht="14.25" customHeight="1" x14ac:dyDescent="0.25">
      <c r="A2" s="197"/>
      <c r="B2" s="198"/>
      <c r="C2" s="198"/>
      <c r="D2" s="308" t="s">
        <v>272</v>
      </c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10"/>
    </row>
    <row r="3" spans="1:24" ht="13.5" customHeight="1" x14ac:dyDescent="0.25">
      <c r="A3" s="197"/>
      <c r="B3" s="198"/>
      <c r="C3" s="198"/>
      <c r="D3" s="311" t="s">
        <v>20</v>
      </c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3"/>
    </row>
    <row r="4" spans="1:24" ht="11.25" customHeight="1" thickBot="1" x14ac:dyDescent="0.3">
      <c r="A4" s="199"/>
      <c r="B4" s="200"/>
      <c r="C4" s="200"/>
      <c r="D4" s="192" t="s">
        <v>269</v>
      </c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4"/>
    </row>
    <row r="5" spans="1:24" ht="13.5" customHeight="1" x14ac:dyDescent="0.25">
      <c r="A5" s="201" t="s">
        <v>0</v>
      </c>
      <c r="B5" s="202"/>
      <c r="C5" s="202"/>
      <c r="D5" s="202"/>
      <c r="E5" s="202"/>
      <c r="F5" s="202" t="str">
        <f>'SET SP Paicol'!J5</f>
        <v>GESTIÓN DE SERVICIOS PÚBLICOS - PAICOL</v>
      </c>
      <c r="G5" s="202"/>
      <c r="H5" s="202"/>
      <c r="I5" s="202"/>
      <c r="J5" s="202"/>
      <c r="K5" s="202"/>
      <c r="L5" s="202"/>
      <c r="M5" s="202"/>
      <c r="N5" s="202"/>
      <c r="O5" s="203"/>
    </row>
    <row r="6" spans="1:24" ht="15.75" customHeight="1" x14ac:dyDescent="0.25">
      <c r="A6" s="204" t="s">
        <v>1</v>
      </c>
      <c r="B6" s="205"/>
      <c r="C6" s="205"/>
      <c r="D6" s="205"/>
      <c r="E6" s="205"/>
      <c r="F6" s="206" t="str">
        <f>'SET SP Paicol'!$B16</f>
        <v>Calidad del Agua</v>
      </c>
      <c r="G6" s="206"/>
      <c r="H6" s="206"/>
      <c r="I6" s="206"/>
      <c r="J6" s="206"/>
      <c r="K6" s="206"/>
      <c r="L6" s="206"/>
      <c r="M6" s="206"/>
      <c r="N6" s="206"/>
      <c r="O6" s="272"/>
    </row>
    <row r="7" spans="1:24" ht="15.75" customHeight="1" x14ac:dyDescent="0.25">
      <c r="A7" s="204" t="s">
        <v>55</v>
      </c>
      <c r="B7" s="205"/>
      <c r="C7" s="205"/>
      <c r="D7" s="205"/>
      <c r="E7" s="205"/>
      <c r="F7" s="223" t="str">
        <f>'SET SP Paicol'!F16</f>
        <v xml:space="preserve">Eficiencia </v>
      </c>
      <c r="G7" s="224"/>
      <c r="H7" s="224"/>
      <c r="I7" s="224"/>
      <c r="J7" s="224"/>
      <c r="K7" s="224"/>
      <c r="L7" s="224"/>
      <c r="M7" s="224"/>
      <c r="N7" s="224"/>
      <c r="O7" s="225"/>
    </row>
    <row r="8" spans="1:24" ht="17.25" customHeight="1" thickBot="1" x14ac:dyDescent="0.3">
      <c r="A8" s="209" t="s">
        <v>21</v>
      </c>
      <c r="B8" s="210"/>
      <c r="C8" s="210"/>
      <c r="D8" s="210"/>
      <c r="E8" s="210"/>
      <c r="F8" s="23" t="s">
        <v>93</v>
      </c>
      <c r="G8" s="211" t="str">
        <f>'SET SP Paicol'!A16</f>
        <v>IN09</v>
      </c>
      <c r="H8" s="211"/>
      <c r="I8" s="211"/>
      <c r="J8" s="211"/>
      <c r="K8" s="211"/>
      <c r="L8" s="211"/>
      <c r="M8" s="211"/>
      <c r="N8" s="211"/>
      <c r="O8" s="276"/>
    </row>
    <row r="9" spans="1:24" ht="12.75" customHeight="1" x14ac:dyDescent="0.25">
      <c r="A9" s="214" t="s">
        <v>22</v>
      </c>
      <c r="B9" s="215"/>
      <c r="C9" s="215"/>
      <c r="D9" s="215"/>
      <c r="E9" s="218" t="s">
        <v>23</v>
      </c>
      <c r="F9" s="218" t="s">
        <v>24</v>
      </c>
      <c r="G9" s="218"/>
      <c r="H9" s="218" t="s">
        <v>25</v>
      </c>
      <c r="I9" s="218" t="s">
        <v>26</v>
      </c>
      <c r="J9" s="218" t="s">
        <v>27</v>
      </c>
      <c r="K9" s="218"/>
      <c r="L9" s="220" t="s">
        <v>28</v>
      </c>
      <c r="M9" s="220"/>
      <c r="N9" s="220"/>
      <c r="O9" s="221"/>
    </row>
    <row r="10" spans="1:24" ht="46.5" customHeight="1" x14ac:dyDescent="0.25">
      <c r="A10" s="216"/>
      <c r="B10" s="217"/>
      <c r="C10" s="217"/>
      <c r="D10" s="217"/>
      <c r="E10" s="219"/>
      <c r="F10" s="219"/>
      <c r="G10" s="219"/>
      <c r="H10" s="219"/>
      <c r="I10" s="219"/>
      <c r="J10" s="219"/>
      <c r="K10" s="219"/>
      <c r="L10" s="217" t="s">
        <v>29</v>
      </c>
      <c r="M10" s="217"/>
      <c r="N10" s="217" t="s">
        <v>30</v>
      </c>
      <c r="O10" s="222"/>
    </row>
    <row r="11" spans="1:24" ht="31.5" customHeight="1" thickBot="1" x14ac:dyDescent="0.3">
      <c r="A11" s="226" t="str">
        <f>'SET SP Paicol'!$C16</f>
        <v>Monitorear la calidad de agua suministrada a los usuarios por parte de Aguas de Huila.</v>
      </c>
      <c r="B11" s="227"/>
      <c r="C11" s="227"/>
      <c r="D11" s="227"/>
      <c r="E11" s="14" t="s">
        <v>35</v>
      </c>
      <c r="F11" s="295" t="str">
        <f>'SET SP Paicol'!$D16</f>
        <v xml:space="preserve">Medición de acuerdo al IRCA          </v>
      </c>
      <c r="G11" s="297"/>
      <c r="H11" s="12">
        <f>$O18</f>
        <v>0.05</v>
      </c>
      <c r="I11" s="13" t="str">
        <f>'SET SP Paicol'!$E16</f>
        <v>Trimestral</v>
      </c>
      <c r="J11" s="228" t="s">
        <v>88</v>
      </c>
      <c r="K11" s="229"/>
      <c r="L11" s="229"/>
      <c r="M11" s="229"/>
      <c r="N11" s="229"/>
      <c r="O11" s="230"/>
    </row>
    <row r="12" spans="1:24" ht="13.5" customHeight="1" x14ac:dyDescent="0.25">
      <c r="A12" s="236" t="s">
        <v>38</v>
      </c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8"/>
    </row>
    <row r="13" spans="1:24" ht="21.75" customHeight="1" thickBot="1" x14ac:dyDescent="0.3">
      <c r="A13" s="239"/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1"/>
    </row>
    <row r="14" spans="1:24" ht="15" customHeight="1" thickBot="1" x14ac:dyDescent="0.3">
      <c r="A14" s="242" t="s">
        <v>31</v>
      </c>
      <c r="B14" s="243"/>
      <c r="C14" s="243"/>
      <c r="D14" s="243"/>
      <c r="E14" s="243"/>
      <c r="F14" s="243"/>
      <c r="G14" s="243"/>
      <c r="H14" s="243"/>
      <c r="I14" s="243"/>
      <c r="J14" s="243"/>
      <c r="K14" s="243"/>
      <c r="L14" s="243"/>
      <c r="M14" s="243"/>
      <c r="N14" s="243"/>
      <c r="O14" s="244"/>
      <c r="V14" s="7"/>
      <c r="W14" s="6"/>
      <c r="X14" s="6"/>
    </row>
    <row r="15" spans="1:24" ht="16.5" customHeight="1" x14ac:dyDescent="0.25">
      <c r="A15" s="245" t="s">
        <v>267</v>
      </c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7"/>
      <c r="V15" s="7"/>
      <c r="W15" s="8"/>
      <c r="X15" s="8"/>
    </row>
    <row r="16" spans="1:24" ht="16.5" customHeight="1" x14ac:dyDescent="0.25">
      <c r="A16" s="248" t="s">
        <v>32</v>
      </c>
      <c r="B16" s="249"/>
      <c r="C16" s="66" t="s">
        <v>8</v>
      </c>
      <c r="D16" s="66" t="s">
        <v>9</v>
      </c>
      <c r="E16" s="66" t="s">
        <v>10</v>
      </c>
      <c r="F16" s="66" t="s">
        <v>11</v>
      </c>
      <c r="G16" s="66" t="s">
        <v>12</v>
      </c>
      <c r="H16" s="66" t="s">
        <v>13</v>
      </c>
      <c r="I16" s="66" t="s">
        <v>14</v>
      </c>
      <c r="J16" s="66" t="s">
        <v>15</v>
      </c>
      <c r="K16" s="66" t="s">
        <v>16</v>
      </c>
      <c r="L16" s="66" t="s">
        <v>17</v>
      </c>
      <c r="M16" s="66" t="s">
        <v>18</v>
      </c>
      <c r="N16" s="66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57" t="s">
        <v>39</v>
      </c>
      <c r="B17" s="258"/>
      <c r="C17" s="54">
        <f t="shared" ref="C17:N17" si="0">$O$17</f>
        <v>0.05</v>
      </c>
      <c r="D17" s="54">
        <f t="shared" si="0"/>
        <v>0.05</v>
      </c>
      <c r="E17" s="54">
        <f t="shared" si="0"/>
        <v>0.05</v>
      </c>
      <c r="F17" s="54">
        <f t="shared" si="0"/>
        <v>0.05</v>
      </c>
      <c r="G17" s="54">
        <f t="shared" si="0"/>
        <v>0.05</v>
      </c>
      <c r="H17" s="54">
        <f t="shared" si="0"/>
        <v>0.05</v>
      </c>
      <c r="I17" s="54">
        <f t="shared" si="0"/>
        <v>0.05</v>
      </c>
      <c r="J17" s="54">
        <f t="shared" si="0"/>
        <v>0.05</v>
      </c>
      <c r="K17" s="54">
        <f t="shared" si="0"/>
        <v>0.05</v>
      </c>
      <c r="L17" s="54">
        <f t="shared" si="0"/>
        <v>0.05</v>
      </c>
      <c r="M17" s="54">
        <f t="shared" si="0"/>
        <v>0.05</v>
      </c>
      <c r="N17" s="54">
        <f t="shared" si="0"/>
        <v>0.05</v>
      </c>
      <c r="O17" s="110">
        <f>'SET SP Paicol'!J16</f>
        <v>0.05</v>
      </c>
      <c r="V17" s="7"/>
      <c r="W17" s="8"/>
      <c r="X17" s="8"/>
    </row>
    <row r="18" spans="1:24" ht="17.25" customHeight="1" x14ac:dyDescent="0.25">
      <c r="A18" s="257" t="s">
        <v>268</v>
      </c>
      <c r="B18" s="258"/>
      <c r="C18" s="54">
        <f t="shared" ref="C18:N18" si="1">$O$18</f>
        <v>0.05</v>
      </c>
      <c r="D18" s="54">
        <f t="shared" si="1"/>
        <v>0.05</v>
      </c>
      <c r="E18" s="54">
        <f t="shared" si="1"/>
        <v>0.05</v>
      </c>
      <c r="F18" s="54">
        <f t="shared" si="1"/>
        <v>0.05</v>
      </c>
      <c r="G18" s="54">
        <f t="shared" si="1"/>
        <v>0.05</v>
      </c>
      <c r="H18" s="54">
        <f t="shared" si="1"/>
        <v>0.05</v>
      </c>
      <c r="I18" s="54">
        <f t="shared" si="1"/>
        <v>0.05</v>
      </c>
      <c r="J18" s="54">
        <f t="shared" si="1"/>
        <v>0.05</v>
      </c>
      <c r="K18" s="54">
        <f t="shared" si="1"/>
        <v>0.05</v>
      </c>
      <c r="L18" s="54">
        <f t="shared" si="1"/>
        <v>0.05</v>
      </c>
      <c r="M18" s="54">
        <f t="shared" si="1"/>
        <v>0.05</v>
      </c>
      <c r="N18" s="54">
        <f t="shared" si="1"/>
        <v>0.05</v>
      </c>
      <c r="O18" s="110">
        <f>'SET SP Paicol'!K16</f>
        <v>0.05</v>
      </c>
      <c r="V18" s="7"/>
      <c r="W18" s="8"/>
      <c r="X18" s="8"/>
    </row>
    <row r="19" spans="1:24" ht="17.25" customHeight="1" x14ac:dyDescent="0.25">
      <c r="A19" s="261" t="s">
        <v>263</v>
      </c>
      <c r="B19" s="262"/>
      <c r="C19" s="10" t="str">
        <f>IF((C20),C20,"-")</f>
        <v>-</v>
      </c>
      <c r="D19" s="10" t="str">
        <f t="shared" ref="D19:N19" si="2">IF((D20),D20,"-")</f>
        <v>-</v>
      </c>
      <c r="E19" s="10" t="str">
        <f t="shared" si="2"/>
        <v>-</v>
      </c>
      <c r="F19" s="10" t="str">
        <f t="shared" si="2"/>
        <v>-</v>
      </c>
      <c r="G19" s="10" t="str">
        <f t="shared" si="2"/>
        <v>-</v>
      </c>
      <c r="H19" s="10" t="str">
        <f t="shared" si="2"/>
        <v>-</v>
      </c>
      <c r="I19" s="10" t="str">
        <f t="shared" si="2"/>
        <v>-</v>
      </c>
      <c r="J19" s="10" t="str">
        <f t="shared" si="2"/>
        <v>-</v>
      </c>
      <c r="K19" s="10" t="str">
        <f t="shared" si="2"/>
        <v>-</v>
      </c>
      <c r="L19" s="10" t="str">
        <f t="shared" si="2"/>
        <v>-</v>
      </c>
      <c r="M19" s="10" t="str">
        <f t="shared" si="2"/>
        <v>-</v>
      </c>
      <c r="N19" s="10" t="str">
        <f t="shared" si="2"/>
        <v>-</v>
      </c>
      <c r="O19" s="11" t="str">
        <f>IF(ISNUMBER(O20),O20,"-")</f>
        <v>-</v>
      </c>
      <c r="V19" s="7"/>
      <c r="W19" s="8"/>
      <c r="X19" s="8"/>
    </row>
    <row r="20" spans="1:24" ht="23.25" customHeight="1" x14ac:dyDescent="0.25">
      <c r="A20" s="263" t="s">
        <v>37</v>
      </c>
      <c r="B20" s="31" t="s">
        <v>141</v>
      </c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5" t="e">
        <f>AVERAGE(C20:N20)</f>
        <v>#DIV/0!</v>
      </c>
      <c r="V20" s="7"/>
      <c r="W20" s="8"/>
      <c r="X20" s="8"/>
    </row>
    <row r="21" spans="1:24" ht="21" customHeight="1" x14ac:dyDescent="0.25">
      <c r="A21" s="263"/>
      <c r="B21" s="65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6"/>
      <c r="V21" s="7"/>
      <c r="W21" s="8"/>
      <c r="X21" s="8"/>
    </row>
    <row r="22" spans="1:24" ht="17.25" customHeight="1" x14ac:dyDescent="0.25">
      <c r="A22" s="263"/>
      <c r="B22" s="65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/>
      <c r="V22" s="7"/>
      <c r="W22" s="8"/>
      <c r="X22" s="8"/>
    </row>
    <row r="23" spans="1:24" ht="18" customHeight="1" thickBot="1" x14ac:dyDescent="0.3">
      <c r="A23" s="264"/>
      <c r="B23" s="67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65" t="s">
        <v>34</v>
      </c>
      <c r="B24" s="266"/>
      <c r="C24" s="267"/>
      <c r="D24" s="254" t="str">
        <f>'SET SP Paicol'!$G16</f>
        <v>Menor al 5%</v>
      </c>
      <c r="E24" s="255"/>
      <c r="F24" s="255"/>
      <c r="G24" s="256"/>
      <c r="H24" s="254" t="str">
        <f>'SET SP Paicol'!$H16</f>
        <v>Entre el 5% y el 8%</v>
      </c>
      <c r="I24" s="255"/>
      <c r="J24" s="255"/>
      <c r="K24" s="256"/>
      <c r="L24" s="254" t="str">
        <f>'SET SP Paicol'!$I16</f>
        <v>Mayor al 8%</v>
      </c>
      <c r="M24" s="259"/>
      <c r="N24" s="259"/>
      <c r="O24" s="260"/>
      <c r="V24" s="7"/>
      <c r="W24" s="8"/>
      <c r="X24" s="8"/>
    </row>
    <row r="25" spans="1:24" ht="33" customHeight="1" thickBot="1" x14ac:dyDescent="0.3">
      <c r="A25" s="268"/>
      <c r="B25" s="269"/>
      <c r="C25" s="269"/>
      <c r="D25" s="270" t="s">
        <v>7</v>
      </c>
      <c r="E25" s="270"/>
      <c r="F25" s="270"/>
      <c r="G25" s="270"/>
      <c r="H25" s="271" t="s">
        <v>61</v>
      </c>
      <c r="I25" s="271"/>
      <c r="J25" s="271"/>
      <c r="K25" s="271"/>
      <c r="L25" s="231" t="s">
        <v>62</v>
      </c>
      <c r="M25" s="231"/>
      <c r="N25" s="231"/>
      <c r="O25" s="232"/>
      <c r="V25" s="7"/>
      <c r="W25" s="8"/>
      <c r="X25" s="8"/>
    </row>
    <row r="26" spans="1:24" ht="15.75" customHeight="1" thickBot="1" x14ac:dyDescent="0.3">
      <c r="A26" s="233" t="s">
        <v>36</v>
      </c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5"/>
      <c r="V26" s="7"/>
      <c r="W26" s="8"/>
      <c r="X26" s="8"/>
    </row>
    <row r="27" spans="1:24" ht="264.75" customHeight="1" thickBot="1" x14ac:dyDescent="0.3">
      <c r="A27" s="251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3"/>
      <c r="V27" s="7"/>
    </row>
    <row r="28" spans="1:24" ht="15" customHeight="1" x14ac:dyDescent="0.25">
      <c r="A28" s="188" t="s">
        <v>58</v>
      </c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90" t="s">
        <v>60</v>
      </c>
      <c r="O28" s="191"/>
    </row>
    <row r="29" spans="1:24" ht="15" customHeight="1" x14ac:dyDescent="0.25">
      <c r="A29" s="182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6">
        <v>45658</v>
      </c>
      <c r="O29" s="187"/>
    </row>
    <row r="30" spans="1:24" ht="15" customHeight="1" x14ac:dyDescent="0.25">
      <c r="A30" s="182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6">
        <v>45689</v>
      </c>
      <c r="O30" s="187"/>
    </row>
    <row r="31" spans="1:24" ht="15" customHeight="1" x14ac:dyDescent="0.25">
      <c r="A31" s="182"/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6">
        <v>45717</v>
      </c>
      <c r="O31" s="187"/>
    </row>
    <row r="32" spans="1:24" ht="15" customHeight="1" x14ac:dyDescent="0.25">
      <c r="A32" s="182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6">
        <v>45748</v>
      </c>
      <c r="O32" s="187"/>
    </row>
    <row r="33" spans="1:17" ht="15" customHeight="1" x14ac:dyDescent="0.25">
      <c r="A33" s="182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6">
        <v>45778</v>
      </c>
      <c r="O33" s="187"/>
    </row>
    <row r="34" spans="1:17" ht="15" customHeight="1" x14ac:dyDescent="0.25">
      <c r="A34" s="182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6">
        <v>45809</v>
      </c>
      <c r="O34" s="187"/>
    </row>
    <row r="35" spans="1:17" ht="15" customHeight="1" x14ac:dyDescent="0.25">
      <c r="A35" s="182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6">
        <v>45839</v>
      </c>
      <c r="O35" s="187"/>
    </row>
    <row r="36" spans="1:17" ht="15" customHeight="1" x14ac:dyDescent="0.25">
      <c r="A36" s="182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6">
        <v>45870</v>
      </c>
      <c r="O36" s="187"/>
    </row>
    <row r="37" spans="1:17" ht="15" customHeight="1" x14ac:dyDescent="0.25">
      <c r="A37" s="182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6">
        <v>45901</v>
      </c>
      <c r="O37" s="187"/>
    </row>
    <row r="38" spans="1:17" ht="15" customHeight="1" x14ac:dyDescent="0.25">
      <c r="A38" s="182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6">
        <v>45931</v>
      </c>
      <c r="O38" s="187"/>
    </row>
    <row r="39" spans="1:17" ht="15" customHeight="1" x14ac:dyDescent="0.25">
      <c r="A39" s="182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6">
        <v>45962</v>
      </c>
      <c r="O39" s="187"/>
    </row>
    <row r="40" spans="1:17" ht="15" customHeight="1" thickBot="1" x14ac:dyDescent="0.3">
      <c r="A40" s="182"/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6">
        <v>45992</v>
      </c>
      <c r="O40" s="187"/>
    </row>
    <row r="41" spans="1:17" ht="19.5" customHeight="1" x14ac:dyDescent="0.25">
      <c r="A41" s="188" t="s">
        <v>59</v>
      </c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90" t="s">
        <v>60</v>
      </c>
      <c r="O41" s="191"/>
    </row>
    <row r="42" spans="1:17" ht="15" x14ac:dyDescent="0.25">
      <c r="A42" s="182" t="s">
        <v>3</v>
      </c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4" t="s">
        <v>3</v>
      </c>
      <c r="O42" s="185"/>
    </row>
    <row r="43" spans="1:17" ht="15.75" thickBot="1" x14ac:dyDescent="0.3">
      <c r="A43" s="283"/>
      <c r="B43" s="284"/>
      <c r="C43" s="284"/>
      <c r="D43" s="284"/>
      <c r="E43" s="284"/>
      <c r="F43" s="284"/>
      <c r="G43" s="284"/>
      <c r="H43" s="284"/>
      <c r="I43" s="284"/>
      <c r="J43" s="284"/>
      <c r="K43" s="284"/>
      <c r="L43" s="284"/>
      <c r="M43" s="284"/>
      <c r="N43" s="284"/>
      <c r="O43" s="285"/>
    </row>
    <row r="44" spans="1:17" ht="5.25" customHeight="1" x14ac:dyDescent="0.25">
      <c r="A44" s="250"/>
      <c r="B44" s="250"/>
      <c r="C44" s="250"/>
      <c r="D44" s="250"/>
      <c r="E44" s="250"/>
      <c r="F44" s="250"/>
      <c r="G44" s="250"/>
      <c r="H44" s="250"/>
      <c r="I44" s="250"/>
      <c r="J44" s="250"/>
      <c r="K44" s="250"/>
      <c r="L44" s="250"/>
      <c r="M44" s="250"/>
      <c r="N44" s="250"/>
      <c r="O44" s="250"/>
    </row>
    <row r="46" spans="1:17" ht="14.25" x14ac:dyDescent="0.2">
      <c r="Q46" s="40" t="s">
        <v>80</v>
      </c>
    </row>
    <row r="47" spans="1:17" ht="14.25" x14ac:dyDescent="0.2">
      <c r="Q47" s="40" t="s">
        <v>81</v>
      </c>
    </row>
    <row r="48" spans="1:17" ht="14.25" x14ac:dyDescent="0.2">
      <c r="Q48" s="40" t="s">
        <v>82</v>
      </c>
    </row>
    <row r="49" spans="17:17" ht="14.25" x14ac:dyDescent="0.2">
      <c r="Q49" s="40" t="s">
        <v>83</v>
      </c>
    </row>
    <row r="50" spans="17:17" ht="14.25" x14ac:dyDescent="0.2">
      <c r="Q50" s="40" t="s">
        <v>84</v>
      </c>
    </row>
    <row r="51" spans="17:17" ht="14.25" x14ac:dyDescent="0.2">
      <c r="Q51" s="40" t="s">
        <v>85</v>
      </c>
    </row>
    <row r="52" spans="17:17" ht="14.25" x14ac:dyDescent="0.2">
      <c r="Q52" s="40" t="s">
        <v>86</v>
      </c>
    </row>
    <row r="53" spans="17:17" ht="14.25" x14ac:dyDescent="0.2">
      <c r="Q53" s="40" t="s">
        <v>87</v>
      </c>
    </row>
    <row r="54" spans="17:17" ht="14.25" x14ac:dyDescent="0.2">
      <c r="Q54" s="40" t="s">
        <v>88</v>
      </c>
    </row>
    <row r="55" spans="17:17" ht="14.25" x14ac:dyDescent="0.2">
      <c r="Q55" s="40" t="s">
        <v>89</v>
      </c>
    </row>
    <row r="56" spans="17:17" ht="14.25" x14ac:dyDescent="0.2">
      <c r="Q56" s="40" t="s">
        <v>90</v>
      </c>
    </row>
    <row r="57" spans="17:17" ht="14.25" x14ac:dyDescent="0.2">
      <c r="Q57" s="40" t="s">
        <v>91</v>
      </c>
    </row>
    <row r="58" spans="17:17" ht="14.25" x14ac:dyDescent="0.2">
      <c r="Q58" s="40" t="s">
        <v>92</v>
      </c>
    </row>
    <row r="60" spans="17:17" x14ac:dyDescent="0.25">
      <c r="Q60" s="35">
        <v>0.05</v>
      </c>
    </row>
    <row r="61" spans="17:17" x14ac:dyDescent="0.25">
      <c r="Q61" s="35">
        <v>4.9000000000000002E-2</v>
      </c>
    </row>
  </sheetData>
  <mergeCells count="76">
    <mergeCell ref="A44:O44"/>
    <mergeCell ref="A27:O27"/>
    <mergeCell ref="H24:K24"/>
    <mergeCell ref="A24:C25"/>
    <mergeCell ref="D24:G24"/>
    <mergeCell ref="A26:O26"/>
    <mergeCell ref="A41:M41"/>
    <mergeCell ref="N41:O41"/>
    <mergeCell ref="A42:M42"/>
    <mergeCell ref="N42:O42"/>
    <mergeCell ref="A43:M43"/>
    <mergeCell ref="N43:O43"/>
    <mergeCell ref="A28:M28"/>
    <mergeCell ref="N28:O28"/>
    <mergeCell ref="A29:M29"/>
    <mergeCell ref="N29:O29"/>
    <mergeCell ref="A7:E7"/>
    <mergeCell ref="A18:B18"/>
    <mergeCell ref="A19:B19"/>
    <mergeCell ref="A20:A23"/>
    <mergeCell ref="A17:B17"/>
    <mergeCell ref="A12:O12"/>
    <mergeCell ref="J11:O11"/>
    <mergeCell ref="F7:O7"/>
    <mergeCell ref="A8:E8"/>
    <mergeCell ref="G8:O8"/>
    <mergeCell ref="A9:D10"/>
    <mergeCell ref="E9:E10"/>
    <mergeCell ref="F9:G10"/>
    <mergeCell ref="A14:O14"/>
    <mergeCell ref="A15:O15"/>
    <mergeCell ref="N10:O10"/>
    <mergeCell ref="A11:D11"/>
    <mergeCell ref="F11:G11"/>
    <mergeCell ref="L24:O24"/>
    <mergeCell ref="D25:G25"/>
    <mergeCell ref="H25:K25"/>
    <mergeCell ref="A13:O13"/>
    <mergeCell ref="A16:B16"/>
    <mergeCell ref="L25:O25"/>
    <mergeCell ref="I9:I10"/>
    <mergeCell ref="J9:K10"/>
    <mergeCell ref="L9:O9"/>
    <mergeCell ref="L10:M10"/>
    <mergeCell ref="H9:H10"/>
    <mergeCell ref="D1:O1"/>
    <mergeCell ref="D4:O4"/>
    <mergeCell ref="A5:E5"/>
    <mergeCell ref="F5:O5"/>
    <mergeCell ref="A6:E6"/>
    <mergeCell ref="F6:O6"/>
    <mergeCell ref="A1:C4"/>
    <mergeCell ref="D2:O2"/>
    <mergeCell ref="D3:O3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A39:M39"/>
    <mergeCell ref="N39:O39"/>
    <mergeCell ref="A40:M40"/>
    <mergeCell ref="N40:O40"/>
    <mergeCell ref="A36:M36"/>
    <mergeCell ref="N36:O36"/>
    <mergeCell ref="A37:M37"/>
    <mergeCell ref="N37:O37"/>
    <mergeCell ref="A38:M38"/>
    <mergeCell ref="N38:O38"/>
  </mergeCells>
  <dataValidations count="1">
    <dataValidation type="list" allowBlank="1" showInputMessage="1" showErrorMessage="1" sqref="J11:O11" xr:uid="{00000000-0002-0000-0900-000000000000}">
      <formula1>$Q$46:$Q$58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X62"/>
  <sheetViews>
    <sheetView topLeftCell="A27"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7.28515625" style="2" customWidth="1"/>
    <col min="17" max="18" width="7.28515625" style="2" hidden="1" customWidth="1"/>
    <col min="19" max="19" width="7.28515625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2.75" customHeight="1" x14ac:dyDescent="0.25">
      <c r="A1" s="195"/>
      <c r="B1" s="196"/>
      <c r="C1" s="196"/>
      <c r="D1" s="179" t="s">
        <v>251</v>
      </c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1"/>
    </row>
    <row r="2" spans="1:24" ht="12.75" customHeight="1" x14ac:dyDescent="0.25">
      <c r="A2" s="197"/>
      <c r="B2" s="198"/>
      <c r="C2" s="198"/>
      <c r="D2" s="308" t="s">
        <v>272</v>
      </c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10"/>
    </row>
    <row r="3" spans="1:24" ht="15" customHeight="1" x14ac:dyDescent="0.25">
      <c r="A3" s="197"/>
      <c r="B3" s="198"/>
      <c r="C3" s="198"/>
      <c r="D3" s="311" t="s">
        <v>20</v>
      </c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3"/>
    </row>
    <row r="4" spans="1:24" ht="13.5" customHeight="1" thickBot="1" x14ac:dyDescent="0.3">
      <c r="A4" s="199"/>
      <c r="B4" s="200"/>
      <c r="C4" s="200"/>
      <c r="D4" s="192" t="s">
        <v>269</v>
      </c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4"/>
    </row>
    <row r="5" spans="1:24" ht="13.5" customHeight="1" x14ac:dyDescent="0.25">
      <c r="A5" s="201" t="s">
        <v>0</v>
      </c>
      <c r="B5" s="202"/>
      <c r="C5" s="202"/>
      <c r="D5" s="202"/>
      <c r="E5" s="202"/>
      <c r="F5" s="202" t="str">
        <f>'SET SP Paicol'!J5</f>
        <v>GESTIÓN DE SERVICIOS PÚBLICOS - PAICOL</v>
      </c>
      <c r="G5" s="202"/>
      <c r="H5" s="202"/>
      <c r="I5" s="202"/>
      <c r="J5" s="202"/>
      <c r="K5" s="202"/>
      <c r="L5" s="202"/>
      <c r="M5" s="202"/>
      <c r="N5" s="202"/>
      <c r="O5" s="203"/>
    </row>
    <row r="6" spans="1:24" ht="15.75" customHeight="1" x14ac:dyDescent="0.25">
      <c r="A6" s="204" t="s">
        <v>1</v>
      </c>
      <c r="B6" s="205"/>
      <c r="C6" s="205"/>
      <c r="D6" s="205"/>
      <c r="E6" s="205"/>
      <c r="F6" s="206" t="str">
        <f>'SET SP Paicol'!$B17</f>
        <v>Índice de agua no contabilizada</v>
      </c>
      <c r="G6" s="206"/>
      <c r="H6" s="206"/>
      <c r="I6" s="206"/>
      <c r="J6" s="206"/>
      <c r="K6" s="206"/>
      <c r="L6" s="206"/>
      <c r="M6" s="206"/>
      <c r="N6" s="206"/>
      <c r="O6" s="272"/>
    </row>
    <row r="7" spans="1:24" ht="15.75" customHeight="1" x14ac:dyDescent="0.25">
      <c r="A7" s="204" t="s">
        <v>55</v>
      </c>
      <c r="B7" s="205"/>
      <c r="C7" s="205"/>
      <c r="D7" s="205"/>
      <c r="E7" s="205"/>
      <c r="F7" s="223" t="str">
        <f>'SET SP Paicol'!F17</f>
        <v xml:space="preserve">Eficiencia </v>
      </c>
      <c r="G7" s="224"/>
      <c r="H7" s="224"/>
      <c r="I7" s="224"/>
      <c r="J7" s="224"/>
      <c r="K7" s="224"/>
      <c r="L7" s="224"/>
      <c r="M7" s="224"/>
      <c r="N7" s="224"/>
      <c r="O7" s="225"/>
    </row>
    <row r="8" spans="1:24" ht="17.25" customHeight="1" thickBot="1" x14ac:dyDescent="0.3">
      <c r="A8" s="209" t="s">
        <v>21</v>
      </c>
      <c r="B8" s="210"/>
      <c r="C8" s="210"/>
      <c r="D8" s="210"/>
      <c r="E8" s="210"/>
      <c r="F8" s="23" t="s">
        <v>93</v>
      </c>
      <c r="G8" s="211" t="str">
        <f>'SET SP Paicol'!A17</f>
        <v>IN10</v>
      </c>
      <c r="H8" s="211"/>
      <c r="I8" s="211"/>
      <c r="J8" s="211"/>
      <c r="K8" s="211"/>
      <c r="L8" s="211"/>
      <c r="M8" s="211"/>
      <c r="N8" s="211"/>
      <c r="O8" s="276"/>
    </row>
    <row r="9" spans="1:24" ht="12.75" customHeight="1" x14ac:dyDescent="0.25">
      <c r="A9" s="214" t="s">
        <v>22</v>
      </c>
      <c r="B9" s="215"/>
      <c r="C9" s="215"/>
      <c r="D9" s="215"/>
      <c r="E9" s="218" t="s">
        <v>23</v>
      </c>
      <c r="F9" s="218" t="s">
        <v>24</v>
      </c>
      <c r="G9" s="218"/>
      <c r="H9" s="218" t="s">
        <v>25</v>
      </c>
      <c r="I9" s="218" t="s">
        <v>26</v>
      </c>
      <c r="J9" s="218" t="s">
        <v>27</v>
      </c>
      <c r="K9" s="218"/>
      <c r="L9" s="220" t="s">
        <v>28</v>
      </c>
      <c r="M9" s="220"/>
      <c r="N9" s="220"/>
      <c r="O9" s="221"/>
    </row>
    <row r="10" spans="1:24" ht="46.5" customHeight="1" x14ac:dyDescent="0.25">
      <c r="A10" s="216"/>
      <c r="B10" s="217"/>
      <c r="C10" s="217"/>
      <c r="D10" s="217"/>
      <c r="E10" s="219"/>
      <c r="F10" s="219"/>
      <c r="G10" s="219"/>
      <c r="H10" s="219"/>
      <c r="I10" s="219"/>
      <c r="J10" s="219"/>
      <c r="K10" s="219"/>
      <c r="L10" s="217" t="s">
        <v>29</v>
      </c>
      <c r="M10" s="217"/>
      <c r="N10" s="217" t="s">
        <v>30</v>
      </c>
      <c r="O10" s="222"/>
    </row>
    <row r="11" spans="1:24" ht="46.5" customHeight="1" thickBot="1" x14ac:dyDescent="0.3">
      <c r="A11" s="226" t="str">
        <f>'SET SP Paicol'!$C17</f>
        <v>Lograr que Aguas del Huila facture la totalidad del agua producida.</v>
      </c>
      <c r="B11" s="227"/>
      <c r="C11" s="227"/>
      <c r="D11" s="227"/>
      <c r="E11" s="14" t="s">
        <v>35</v>
      </c>
      <c r="F11" s="295" t="str">
        <f>'SET SP Paicol'!$D17</f>
        <v xml:space="preserve">(Volumen  producido - Volumen facturado /   Volumen  producido)   x 100          </v>
      </c>
      <c r="G11" s="297"/>
      <c r="H11" s="12">
        <f>$O18</f>
        <v>0.5</v>
      </c>
      <c r="I11" s="13" t="str">
        <f>'SET SP Paicol'!$E17</f>
        <v>Trimestral</v>
      </c>
      <c r="J11" s="228" t="s">
        <v>88</v>
      </c>
      <c r="K11" s="229"/>
      <c r="L11" s="229"/>
      <c r="M11" s="229"/>
      <c r="N11" s="229"/>
      <c r="O11" s="230"/>
    </row>
    <row r="12" spans="1:24" ht="13.5" customHeight="1" x14ac:dyDescent="0.25">
      <c r="A12" s="236" t="s">
        <v>38</v>
      </c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8"/>
    </row>
    <row r="13" spans="1:24" ht="21.75" customHeight="1" thickBot="1" x14ac:dyDescent="0.3">
      <c r="A13" s="239"/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1"/>
    </row>
    <row r="14" spans="1:24" ht="15" customHeight="1" thickBot="1" x14ac:dyDescent="0.3">
      <c r="A14" s="288" t="s">
        <v>31</v>
      </c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  <c r="N14" s="289"/>
      <c r="O14" s="290"/>
      <c r="V14" s="7"/>
      <c r="W14" s="6"/>
      <c r="X14" s="6"/>
    </row>
    <row r="15" spans="1:24" ht="16.5" customHeight="1" x14ac:dyDescent="0.25">
      <c r="A15" s="245" t="s">
        <v>267</v>
      </c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7"/>
      <c r="V15" s="7"/>
      <c r="W15" s="8"/>
      <c r="X15" s="8"/>
    </row>
    <row r="16" spans="1:24" ht="16.5" customHeight="1" x14ac:dyDescent="0.25">
      <c r="A16" s="248" t="s">
        <v>32</v>
      </c>
      <c r="B16" s="249"/>
      <c r="C16" s="66" t="s">
        <v>8</v>
      </c>
      <c r="D16" s="66" t="s">
        <v>9</v>
      </c>
      <c r="E16" s="66" t="s">
        <v>10</v>
      </c>
      <c r="F16" s="66" t="s">
        <v>11</v>
      </c>
      <c r="G16" s="66" t="s">
        <v>12</v>
      </c>
      <c r="H16" s="66" t="s">
        <v>13</v>
      </c>
      <c r="I16" s="66" t="s">
        <v>14</v>
      </c>
      <c r="J16" s="66" t="s">
        <v>15</v>
      </c>
      <c r="K16" s="66" t="s">
        <v>16</v>
      </c>
      <c r="L16" s="66" t="s">
        <v>17</v>
      </c>
      <c r="M16" s="66" t="s">
        <v>18</v>
      </c>
      <c r="N16" s="66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57" t="s">
        <v>39</v>
      </c>
      <c r="B17" s="258"/>
      <c r="C17" s="54">
        <f t="shared" ref="C17:N17" si="0">$O$17</f>
        <v>0.63</v>
      </c>
      <c r="D17" s="54">
        <f t="shared" si="0"/>
        <v>0.63</v>
      </c>
      <c r="E17" s="54">
        <f t="shared" si="0"/>
        <v>0.63</v>
      </c>
      <c r="F17" s="54">
        <f t="shared" si="0"/>
        <v>0.63</v>
      </c>
      <c r="G17" s="54">
        <f t="shared" si="0"/>
        <v>0.63</v>
      </c>
      <c r="H17" s="54">
        <f t="shared" si="0"/>
        <v>0.63</v>
      </c>
      <c r="I17" s="54">
        <f t="shared" si="0"/>
        <v>0.63</v>
      </c>
      <c r="J17" s="54">
        <f t="shared" si="0"/>
        <v>0.63</v>
      </c>
      <c r="K17" s="54">
        <f t="shared" si="0"/>
        <v>0.63</v>
      </c>
      <c r="L17" s="54">
        <f t="shared" si="0"/>
        <v>0.63</v>
      </c>
      <c r="M17" s="54">
        <f t="shared" si="0"/>
        <v>0.63</v>
      </c>
      <c r="N17" s="54">
        <f t="shared" si="0"/>
        <v>0.63</v>
      </c>
      <c r="O17" s="110">
        <f>'SET SP Paicol'!J17</f>
        <v>0.63</v>
      </c>
      <c r="V17" s="7"/>
      <c r="W17" s="8"/>
      <c r="X17" s="8"/>
    </row>
    <row r="18" spans="1:24" ht="17.25" customHeight="1" x14ac:dyDescent="0.25">
      <c r="A18" s="257" t="s">
        <v>268</v>
      </c>
      <c r="B18" s="258"/>
      <c r="C18" s="54">
        <f t="shared" ref="C18:N18" si="1">$O$18</f>
        <v>0.5</v>
      </c>
      <c r="D18" s="54">
        <f t="shared" si="1"/>
        <v>0.5</v>
      </c>
      <c r="E18" s="54">
        <f t="shared" si="1"/>
        <v>0.5</v>
      </c>
      <c r="F18" s="54">
        <f t="shared" si="1"/>
        <v>0.5</v>
      </c>
      <c r="G18" s="54">
        <f t="shared" si="1"/>
        <v>0.5</v>
      </c>
      <c r="H18" s="54">
        <f t="shared" si="1"/>
        <v>0.5</v>
      </c>
      <c r="I18" s="54">
        <f t="shared" si="1"/>
        <v>0.5</v>
      </c>
      <c r="J18" s="54">
        <f t="shared" si="1"/>
        <v>0.5</v>
      </c>
      <c r="K18" s="54">
        <f t="shared" si="1"/>
        <v>0.5</v>
      </c>
      <c r="L18" s="54">
        <f t="shared" si="1"/>
        <v>0.5</v>
      </c>
      <c r="M18" s="54">
        <f t="shared" si="1"/>
        <v>0.5</v>
      </c>
      <c r="N18" s="54">
        <f t="shared" si="1"/>
        <v>0.5</v>
      </c>
      <c r="O18" s="110">
        <f>'SET SP Paicol'!K17</f>
        <v>0.5</v>
      </c>
      <c r="V18" s="7"/>
      <c r="W18" s="8"/>
      <c r="X18" s="8"/>
    </row>
    <row r="19" spans="1:24" ht="17.25" customHeight="1" x14ac:dyDescent="0.25">
      <c r="A19" s="261" t="s">
        <v>263</v>
      </c>
      <c r="B19" s="262"/>
      <c r="C19" s="10">
        <f>IF((C21),(C20-C21)/C20,"-")</f>
        <v>0.53617641698560237</v>
      </c>
      <c r="D19" s="10">
        <f t="shared" ref="D19:O19" si="2">IF((D21),(D20-D21)/D20,"-")</f>
        <v>0.33127753303964758</v>
      </c>
      <c r="E19" s="10">
        <f t="shared" si="2"/>
        <v>0.52963985049079543</v>
      </c>
      <c r="F19" s="10" t="e">
        <f t="shared" si="2"/>
        <v>#DIV/0!</v>
      </c>
      <c r="G19" s="10" t="str">
        <f t="shared" si="2"/>
        <v>-</v>
      </c>
      <c r="H19" s="10" t="str">
        <f t="shared" si="2"/>
        <v>-</v>
      </c>
      <c r="I19" s="10" t="str">
        <f t="shared" si="2"/>
        <v>-</v>
      </c>
      <c r="J19" s="10" t="str">
        <f t="shared" si="2"/>
        <v>-</v>
      </c>
      <c r="K19" s="10" t="str">
        <f t="shared" si="2"/>
        <v>-</v>
      </c>
      <c r="L19" s="10" t="str">
        <f t="shared" si="2"/>
        <v>-</v>
      </c>
      <c r="M19" s="10" t="str">
        <f t="shared" si="2"/>
        <v>-</v>
      </c>
      <c r="N19" s="10">
        <f t="shared" si="2"/>
        <v>0.5074739829706717</v>
      </c>
      <c r="O19" s="11">
        <f t="shared" si="2"/>
        <v>0.33501326018208827</v>
      </c>
      <c r="V19" s="7"/>
      <c r="W19" s="8"/>
      <c r="X19" s="8"/>
    </row>
    <row r="20" spans="1:24" ht="17.25" customHeight="1" x14ac:dyDescent="0.25">
      <c r="A20" s="263" t="s">
        <v>37</v>
      </c>
      <c r="B20" s="31" t="s">
        <v>142</v>
      </c>
      <c r="C20" s="20">
        <f>PAICOL2020!D$9</f>
        <v>27435</v>
      </c>
      <c r="D20" s="20">
        <f>PAICOL2020!E$9</f>
        <v>27240</v>
      </c>
      <c r="E20" s="20">
        <f>PAICOL2020!F$9</f>
        <v>28627</v>
      </c>
      <c r="F20" s="20">
        <f>PAICOL2020!G$9</f>
        <v>0</v>
      </c>
      <c r="G20" s="20">
        <f>PAICOL2020!H$9</f>
        <v>0</v>
      </c>
      <c r="H20" s="20">
        <f>PAICOL2020!I$9</f>
        <v>0</v>
      </c>
      <c r="I20" s="20">
        <f>PAICOL2020!J$9</f>
        <v>0</v>
      </c>
      <c r="J20" s="20">
        <f>PAICOL2020!K$9</f>
        <v>0</v>
      </c>
      <c r="K20" s="20">
        <f>PAICOL2020!L$9</f>
        <v>0</v>
      </c>
      <c r="L20" s="20">
        <f>PAICOL2020!M$9</f>
        <v>0</v>
      </c>
      <c r="M20" s="20">
        <f>PAICOL2020!N$9</f>
        <v>0</v>
      </c>
      <c r="N20" s="20">
        <f>PAICOL2020!O$9</f>
        <v>26425</v>
      </c>
      <c r="O20" s="21">
        <f>SUM(C20:N20)</f>
        <v>109727</v>
      </c>
      <c r="V20" s="7"/>
      <c r="W20" s="8"/>
      <c r="X20" s="8"/>
    </row>
    <row r="21" spans="1:24" ht="17.25" customHeight="1" x14ac:dyDescent="0.25">
      <c r="A21" s="263"/>
      <c r="B21" s="31" t="s">
        <v>143</v>
      </c>
      <c r="C21" s="20">
        <f>PAICOL2020!D$10</f>
        <v>12725</v>
      </c>
      <c r="D21" s="20">
        <f>PAICOL2020!E$10</f>
        <v>18216</v>
      </c>
      <c r="E21" s="20">
        <f>PAICOL2020!F$10</f>
        <v>13465</v>
      </c>
      <c r="F21" s="20">
        <f>PAICOL2020!G$10</f>
        <v>15546</v>
      </c>
      <c r="G21" s="20">
        <f>PAICOL2020!H$10</f>
        <v>0</v>
      </c>
      <c r="H21" s="20">
        <f>PAICOL2020!I$10</f>
        <v>0</v>
      </c>
      <c r="I21" s="20">
        <f>PAICOL2020!J$10</f>
        <v>0</v>
      </c>
      <c r="J21" s="20">
        <f>PAICOL2020!K$10</f>
        <v>0</v>
      </c>
      <c r="K21" s="20">
        <f>PAICOL2020!L$10</f>
        <v>0</v>
      </c>
      <c r="L21" s="20">
        <f>PAICOL2020!M$10</f>
        <v>0</v>
      </c>
      <c r="M21" s="20">
        <f>PAICOL2020!N$10</f>
        <v>0</v>
      </c>
      <c r="N21" s="20">
        <f>PAICOL2020!O$10</f>
        <v>13015</v>
      </c>
      <c r="O21" s="21">
        <f>SUM(C21:N21)</f>
        <v>72967</v>
      </c>
      <c r="V21" s="7"/>
      <c r="W21" s="8"/>
      <c r="X21" s="8"/>
    </row>
    <row r="22" spans="1:24" ht="12" customHeight="1" x14ac:dyDescent="0.25">
      <c r="A22" s="263"/>
      <c r="B22" s="65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/>
      <c r="V22" s="7"/>
      <c r="W22" s="8"/>
      <c r="X22" s="8"/>
    </row>
    <row r="23" spans="1:24" ht="13.5" customHeight="1" thickBot="1" x14ac:dyDescent="0.3">
      <c r="A23" s="264"/>
      <c r="B23" s="67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65" t="s">
        <v>34</v>
      </c>
      <c r="B24" s="266"/>
      <c r="C24" s="267"/>
      <c r="D24" s="254" t="str">
        <f>'SET SP Paicol'!$G17</f>
        <v>Menor al 30%</v>
      </c>
      <c r="E24" s="255"/>
      <c r="F24" s="255"/>
      <c r="G24" s="256"/>
      <c r="H24" s="254" t="str">
        <f>'SET SP Paicol'!$H17</f>
        <v>Entre el 30% y el 50%</v>
      </c>
      <c r="I24" s="255"/>
      <c r="J24" s="255"/>
      <c r="K24" s="256"/>
      <c r="L24" s="254" t="str">
        <f>'SET SP Paicol'!$I17</f>
        <v>Mayor al 50%</v>
      </c>
      <c r="M24" s="259"/>
      <c r="N24" s="259"/>
      <c r="O24" s="260"/>
      <c r="V24" s="7"/>
      <c r="W24" s="8"/>
      <c r="X24" s="8"/>
    </row>
    <row r="25" spans="1:24" ht="33" customHeight="1" thickBot="1" x14ac:dyDescent="0.3">
      <c r="A25" s="268"/>
      <c r="B25" s="269"/>
      <c r="C25" s="269"/>
      <c r="D25" s="270" t="s">
        <v>7</v>
      </c>
      <c r="E25" s="270"/>
      <c r="F25" s="270"/>
      <c r="G25" s="270"/>
      <c r="H25" s="271" t="s">
        <v>61</v>
      </c>
      <c r="I25" s="271"/>
      <c r="J25" s="271"/>
      <c r="K25" s="271"/>
      <c r="L25" s="231" t="s">
        <v>62</v>
      </c>
      <c r="M25" s="231"/>
      <c r="N25" s="231"/>
      <c r="O25" s="232"/>
      <c r="V25" s="7"/>
      <c r="W25" s="8"/>
      <c r="X25" s="8"/>
    </row>
    <row r="26" spans="1:24" ht="15.75" customHeight="1" thickBot="1" x14ac:dyDescent="0.3">
      <c r="A26" s="233" t="s">
        <v>36</v>
      </c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5"/>
      <c r="V26" s="7"/>
      <c r="W26" s="8"/>
      <c r="X26" s="8"/>
    </row>
    <row r="27" spans="1:24" ht="264.75" customHeight="1" thickBot="1" x14ac:dyDescent="0.3">
      <c r="A27" s="251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3"/>
      <c r="V27" s="7"/>
    </row>
    <row r="28" spans="1:24" ht="15" customHeight="1" x14ac:dyDescent="0.25">
      <c r="A28" s="188" t="s">
        <v>58</v>
      </c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90" t="s">
        <v>60</v>
      </c>
      <c r="O28" s="191"/>
    </row>
    <row r="29" spans="1:24" ht="15" x14ac:dyDescent="0.25">
      <c r="A29" s="182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6">
        <v>45658</v>
      </c>
      <c r="O29" s="187"/>
    </row>
    <row r="30" spans="1:24" ht="15" x14ac:dyDescent="0.25">
      <c r="A30" s="182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6">
        <v>45689</v>
      </c>
      <c r="O30" s="187"/>
    </row>
    <row r="31" spans="1:24" ht="15" x14ac:dyDescent="0.25">
      <c r="A31" s="182"/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6">
        <v>45717</v>
      </c>
      <c r="O31" s="187"/>
    </row>
    <row r="32" spans="1:24" ht="15" x14ac:dyDescent="0.25">
      <c r="A32" s="182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6">
        <v>45748</v>
      </c>
      <c r="O32" s="187"/>
    </row>
    <row r="33" spans="1:17" ht="15" x14ac:dyDescent="0.25">
      <c r="A33" s="182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6">
        <v>45778</v>
      </c>
      <c r="O33" s="187"/>
    </row>
    <row r="34" spans="1:17" ht="15" x14ac:dyDescent="0.25">
      <c r="A34" s="182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6">
        <v>45809</v>
      </c>
      <c r="O34" s="187"/>
    </row>
    <row r="35" spans="1:17" ht="15" x14ac:dyDescent="0.25">
      <c r="A35" s="182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6">
        <v>45839</v>
      </c>
      <c r="O35" s="187"/>
    </row>
    <row r="36" spans="1:17" ht="15" x14ac:dyDescent="0.25">
      <c r="A36" s="182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6">
        <v>45870</v>
      </c>
      <c r="O36" s="187"/>
    </row>
    <row r="37" spans="1:17" ht="15" x14ac:dyDescent="0.25">
      <c r="A37" s="182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6">
        <v>45901</v>
      </c>
      <c r="O37" s="187"/>
    </row>
    <row r="38" spans="1:17" ht="15" customHeight="1" x14ac:dyDescent="0.25">
      <c r="A38" s="182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6">
        <v>45931</v>
      </c>
      <c r="O38" s="187"/>
    </row>
    <row r="39" spans="1:17" ht="15" customHeight="1" x14ac:dyDescent="0.25">
      <c r="A39" s="182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6">
        <v>45962</v>
      </c>
      <c r="O39" s="187"/>
    </row>
    <row r="40" spans="1:17" ht="15" customHeight="1" thickBot="1" x14ac:dyDescent="0.3">
      <c r="A40" s="182"/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6">
        <v>45992</v>
      </c>
      <c r="O40" s="187"/>
    </row>
    <row r="41" spans="1:17" ht="19.5" customHeight="1" x14ac:dyDescent="0.25">
      <c r="A41" s="188" t="s">
        <v>59</v>
      </c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90" t="s">
        <v>60</v>
      </c>
      <c r="O41" s="191"/>
    </row>
    <row r="42" spans="1:17" ht="15" x14ac:dyDescent="0.25">
      <c r="A42" s="182"/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4"/>
      <c r="O42" s="185"/>
    </row>
    <row r="43" spans="1:17" ht="15" x14ac:dyDescent="0.25">
      <c r="A43" s="182"/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4"/>
      <c r="O43" s="185"/>
    </row>
    <row r="44" spans="1:17" ht="15.75" thickBot="1" x14ac:dyDescent="0.3">
      <c r="A44" s="182"/>
      <c r="B44" s="183"/>
      <c r="C44" s="183"/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4"/>
      <c r="O44" s="185"/>
    </row>
    <row r="45" spans="1:17" ht="5.25" customHeight="1" x14ac:dyDescent="0.25">
      <c r="A45" s="250"/>
      <c r="B45" s="250"/>
      <c r="C45" s="250"/>
      <c r="D45" s="250"/>
      <c r="E45" s="250"/>
      <c r="F45" s="250"/>
      <c r="G45" s="250"/>
      <c r="H45" s="250"/>
      <c r="I45" s="250"/>
      <c r="J45" s="250"/>
      <c r="K45" s="250"/>
      <c r="L45" s="250"/>
      <c r="M45" s="250"/>
      <c r="N45" s="250"/>
      <c r="O45" s="250"/>
    </row>
    <row r="47" spans="1:17" ht="14.25" x14ac:dyDescent="0.2">
      <c r="Q47" s="40" t="s">
        <v>80</v>
      </c>
    </row>
    <row r="48" spans="1:17" ht="14.25" x14ac:dyDescent="0.2">
      <c r="Q48" s="40" t="s">
        <v>81</v>
      </c>
    </row>
    <row r="49" spans="17:17" ht="14.25" x14ac:dyDescent="0.2">
      <c r="Q49" s="40" t="s">
        <v>82</v>
      </c>
    </row>
    <row r="50" spans="17:17" ht="14.25" x14ac:dyDescent="0.2">
      <c r="Q50" s="40" t="s">
        <v>83</v>
      </c>
    </row>
    <row r="51" spans="17:17" ht="14.25" x14ac:dyDescent="0.2">
      <c r="Q51" s="40" t="s">
        <v>84</v>
      </c>
    </row>
    <row r="52" spans="17:17" ht="14.25" x14ac:dyDescent="0.2">
      <c r="Q52" s="40" t="s">
        <v>85</v>
      </c>
    </row>
    <row r="53" spans="17:17" ht="14.25" x14ac:dyDescent="0.2">
      <c r="Q53" s="40" t="s">
        <v>86</v>
      </c>
    </row>
    <row r="54" spans="17:17" ht="14.25" x14ac:dyDescent="0.2">
      <c r="Q54" s="40" t="s">
        <v>87</v>
      </c>
    </row>
    <row r="55" spans="17:17" ht="14.25" x14ac:dyDescent="0.2">
      <c r="Q55" s="40" t="s">
        <v>88</v>
      </c>
    </row>
    <row r="56" spans="17:17" ht="14.25" x14ac:dyDescent="0.2">
      <c r="Q56" s="40" t="s">
        <v>89</v>
      </c>
    </row>
    <row r="57" spans="17:17" ht="14.25" x14ac:dyDescent="0.2">
      <c r="Q57" s="40" t="s">
        <v>90</v>
      </c>
    </row>
    <row r="58" spans="17:17" ht="14.25" x14ac:dyDescent="0.2">
      <c r="Q58" s="40" t="s">
        <v>91</v>
      </c>
    </row>
    <row r="59" spans="17:17" ht="14.25" x14ac:dyDescent="0.2">
      <c r="Q59" s="40" t="s">
        <v>92</v>
      </c>
    </row>
    <row r="61" spans="17:17" x14ac:dyDescent="0.25">
      <c r="Q61" s="35">
        <v>0.3</v>
      </c>
    </row>
    <row r="62" spans="17:17" x14ac:dyDescent="0.25">
      <c r="Q62" s="35">
        <v>0.29899999999999999</v>
      </c>
    </row>
  </sheetData>
  <mergeCells count="78">
    <mergeCell ref="A6:E6"/>
    <mergeCell ref="F6:O6"/>
    <mergeCell ref="A1:C4"/>
    <mergeCell ref="D1:O1"/>
    <mergeCell ref="D4:O4"/>
    <mergeCell ref="A5:E5"/>
    <mergeCell ref="F5:O5"/>
    <mergeCell ref="D2:O2"/>
    <mergeCell ref="D3:O3"/>
    <mergeCell ref="A7:E7"/>
    <mergeCell ref="F7:O7"/>
    <mergeCell ref="A8:E8"/>
    <mergeCell ref="G8:O8"/>
    <mergeCell ref="A9:D10"/>
    <mergeCell ref="E9:E10"/>
    <mergeCell ref="F9:G10"/>
    <mergeCell ref="H9:H10"/>
    <mergeCell ref="I9:I10"/>
    <mergeCell ref="J9:K10"/>
    <mergeCell ref="A17:B17"/>
    <mergeCell ref="L9:O9"/>
    <mergeCell ref="L10:M10"/>
    <mergeCell ref="N10:O10"/>
    <mergeCell ref="A11:D11"/>
    <mergeCell ref="F11:G11"/>
    <mergeCell ref="J11:O11"/>
    <mergeCell ref="A12:O12"/>
    <mergeCell ref="A13:O13"/>
    <mergeCell ref="A14:O14"/>
    <mergeCell ref="A15:O15"/>
    <mergeCell ref="A16:B16"/>
    <mergeCell ref="A27:O27"/>
    <mergeCell ref="A18:B18"/>
    <mergeCell ref="A19:B19"/>
    <mergeCell ref="A20:A23"/>
    <mergeCell ref="A24:C25"/>
    <mergeCell ref="D24:G24"/>
    <mergeCell ref="H24:K24"/>
    <mergeCell ref="L24:O24"/>
    <mergeCell ref="D25:G25"/>
    <mergeCell ref="H25:K25"/>
    <mergeCell ref="L25:O25"/>
    <mergeCell ref="A26:O26"/>
    <mergeCell ref="A31:M31"/>
    <mergeCell ref="N31:O31"/>
    <mergeCell ref="A32:M32"/>
    <mergeCell ref="N32:O32"/>
    <mergeCell ref="A33:M33"/>
    <mergeCell ref="N33:O33"/>
    <mergeCell ref="A28:M28"/>
    <mergeCell ref="N28:O28"/>
    <mergeCell ref="A29:M29"/>
    <mergeCell ref="N29:O29"/>
    <mergeCell ref="A30:M30"/>
    <mergeCell ref="N30:O30"/>
    <mergeCell ref="A45:O45"/>
    <mergeCell ref="A41:M41"/>
    <mergeCell ref="N41:O41"/>
    <mergeCell ref="A42:M42"/>
    <mergeCell ref="N42:O42"/>
    <mergeCell ref="A43:M43"/>
    <mergeCell ref="N43:O43"/>
    <mergeCell ref="A44:M44"/>
    <mergeCell ref="N44:O44"/>
    <mergeCell ref="A34:M34"/>
    <mergeCell ref="N34:O34"/>
    <mergeCell ref="A35:M35"/>
    <mergeCell ref="N35:O35"/>
    <mergeCell ref="A36:M36"/>
    <mergeCell ref="N36:O36"/>
    <mergeCell ref="A40:M40"/>
    <mergeCell ref="N40:O40"/>
    <mergeCell ref="A37:M37"/>
    <mergeCell ref="N37:O37"/>
    <mergeCell ref="A38:M38"/>
    <mergeCell ref="N38:O38"/>
    <mergeCell ref="A39:M39"/>
    <mergeCell ref="N39:O39"/>
  </mergeCells>
  <dataValidations count="1">
    <dataValidation type="list" allowBlank="1" showInputMessage="1" showErrorMessage="1" sqref="J11:O11" xr:uid="{00000000-0002-0000-0A00-000000000000}">
      <formula1>$Q$47:$Q$59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X61"/>
  <sheetViews>
    <sheetView topLeftCell="A27"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6.85546875" style="2" customWidth="1"/>
    <col min="17" max="18" width="6.85546875" style="2" hidden="1" customWidth="1"/>
    <col min="19" max="19" width="6.85546875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4.25" customHeight="1" x14ac:dyDescent="0.25">
      <c r="A1" s="195"/>
      <c r="B1" s="196"/>
      <c r="C1" s="196"/>
      <c r="D1" s="179" t="s">
        <v>251</v>
      </c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1"/>
    </row>
    <row r="2" spans="1:24" ht="12.75" customHeight="1" x14ac:dyDescent="0.25">
      <c r="A2" s="197"/>
      <c r="B2" s="198"/>
      <c r="C2" s="198"/>
      <c r="D2" s="308" t="s">
        <v>272</v>
      </c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10"/>
    </row>
    <row r="3" spans="1:24" ht="15.75" customHeight="1" x14ac:dyDescent="0.25">
      <c r="A3" s="197"/>
      <c r="B3" s="198"/>
      <c r="C3" s="198"/>
      <c r="D3" s="311" t="s">
        <v>20</v>
      </c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3"/>
    </row>
    <row r="4" spans="1:24" ht="12.75" customHeight="1" thickBot="1" x14ac:dyDescent="0.3">
      <c r="A4" s="199"/>
      <c r="B4" s="200"/>
      <c r="C4" s="200"/>
      <c r="D4" s="192" t="s">
        <v>269</v>
      </c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4"/>
    </row>
    <row r="5" spans="1:24" ht="13.5" customHeight="1" x14ac:dyDescent="0.25">
      <c r="A5" s="201" t="s">
        <v>0</v>
      </c>
      <c r="B5" s="202"/>
      <c r="C5" s="202"/>
      <c r="D5" s="202"/>
      <c r="E5" s="202"/>
      <c r="F5" s="202" t="str">
        <f>'SET SP Paicol'!J5</f>
        <v>GESTIÓN DE SERVICIOS PÚBLICOS - PAICOL</v>
      </c>
      <c r="G5" s="202"/>
      <c r="H5" s="202"/>
      <c r="I5" s="202"/>
      <c r="J5" s="202"/>
      <c r="K5" s="202"/>
      <c r="L5" s="202"/>
      <c r="M5" s="202"/>
      <c r="N5" s="202"/>
      <c r="O5" s="203"/>
    </row>
    <row r="6" spans="1:24" ht="15.75" customHeight="1" x14ac:dyDescent="0.25">
      <c r="A6" s="204" t="s">
        <v>1</v>
      </c>
      <c r="B6" s="205"/>
      <c r="C6" s="205"/>
      <c r="D6" s="205"/>
      <c r="E6" s="205"/>
      <c r="F6" s="206" t="str">
        <f>'SET SP Paicol'!$B18</f>
        <v>Continuidad del servicio (Acueducto)</v>
      </c>
      <c r="G6" s="206"/>
      <c r="H6" s="206"/>
      <c r="I6" s="206"/>
      <c r="J6" s="206"/>
      <c r="K6" s="206"/>
      <c r="L6" s="206"/>
      <c r="M6" s="206"/>
      <c r="N6" s="206"/>
      <c r="O6" s="272"/>
    </row>
    <row r="7" spans="1:24" ht="15.75" customHeight="1" x14ac:dyDescent="0.25">
      <c r="A7" s="204" t="s">
        <v>55</v>
      </c>
      <c r="B7" s="205"/>
      <c r="C7" s="205"/>
      <c r="D7" s="205"/>
      <c r="E7" s="205"/>
      <c r="F7" s="223" t="str">
        <f>'SET SP Paicol'!F18</f>
        <v xml:space="preserve">Eficiencia </v>
      </c>
      <c r="G7" s="224"/>
      <c r="H7" s="224"/>
      <c r="I7" s="224"/>
      <c r="J7" s="224"/>
      <c r="K7" s="224"/>
      <c r="L7" s="224"/>
      <c r="M7" s="224"/>
      <c r="N7" s="224"/>
      <c r="O7" s="225"/>
    </row>
    <row r="8" spans="1:24" ht="17.25" customHeight="1" thickBot="1" x14ac:dyDescent="0.3">
      <c r="A8" s="209" t="s">
        <v>21</v>
      </c>
      <c r="B8" s="210"/>
      <c r="C8" s="210"/>
      <c r="D8" s="210"/>
      <c r="E8" s="210"/>
      <c r="F8" s="23" t="s">
        <v>93</v>
      </c>
      <c r="G8" s="211" t="str">
        <f>'SET SP Paicol'!A18</f>
        <v>IN11</v>
      </c>
      <c r="H8" s="211"/>
      <c r="I8" s="211"/>
      <c r="J8" s="211"/>
      <c r="K8" s="211"/>
      <c r="L8" s="211"/>
      <c r="M8" s="211"/>
      <c r="N8" s="211"/>
      <c r="O8" s="276"/>
    </row>
    <row r="9" spans="1:24" ht="12.75" customHeight="1" x14ac:dyDescent="0.25">
      <c r="A9" s="214" t="s">
        <v>22</v>
      </c>
      <c r="B9" s="215"/>
      <c r="C9" s="215"/>
      <c r="D9" s="215"/>
      <c r="E9" s="218" t="s">
        <v>23</v>
      </c>
      <c r="F9" s="218" t="s">
        <v>24</v>
      </c>
      <c r="G9" s="218"/>
      <c r="H9" s="218" t="s">
        <v>25</v>
      </c>
      <c r="I9" s="218" t="s">
        <v>26</v>
      </c>
      <c r="J9" s="218" t="s">
        <v>27</v>
      </c>
      <c r="K9" s="218"/>
      <c r="L9" s="220" t="s">
        <v>28</v>
      </c>
      <c r="M9" s="220"/>
      <c r="N9" s="220"/>
      <c r="O9" s="221"/>
    </row>
    <row r="10" spans="1:24" ht="46.5" customHeight="1" x14ac:dyDescent="0.25">
      <c r="A10" s="216"/>
      <c r="B10" s="217"/>
      <c r="C10" s="217"/>
      <c r="D10" s="217"/>
      <c r="E10" s="219"/>
      <c r="F10" s="219"/>
      <c r="G10" s="219"/>
      <c r="H10" s="219"/>
      <c r="I10" s="219"/>
      <c r="J10" s="219"/>
      <c r="K10" s="219"/>
      <c r="L10" s="217" t="s">
        <v>29</v>
      </c>
      <c r="M10" s="217"/>
      <c r="N10" s="217" t="s">
        <v>30</v>
      </c>
      <c r="O10" s="222"/>
    </row>
    <row r="11" spans="1:24" ht="39" customHeight="1" thickBot="1" x14ac:dyDescent="0.3">
      <c r="A11" s="226" t="str">
        <f>'SET SP Paicol'!$C18</f>
        <v>Prestar el servico de acueducto en forma continua las 24 horas.</v>
      </c>
      <c r="B11" s="227"/>
      <c r="C11" s="227"/>
      <c r="D11" s="227"/>
      <c r="E11" s="14" t="s">
        <v>35</v>
      </c>
      <c r="F11" s="295" t="str">
        <f>'SET SP Paicol'!$D18</f>
        <v>(720 - Horas sin servicio mensuales) / 720) * 100</v>
      </c>
      <c r="G11" s="297"/>
      <c r="H11" s="12">
        <f>$O18</f>
        <v>0.99</v>
      </c>
      <c r="I11" s="13" t="str">
        <f>'SET SP Paicol'!$E18</f>
        <v>Trimestral</v>
      </c>
      <c r="J11" s="228" t="s">
        <v>88</v>
      </c>
      <c r="K11" s="229"/>
      <c r="L11" s="229"/>
      <c r="M11" s="229"/>
      <c r="N11" s="229"/>
      <c r="O11" s="230"/>
    </row>
    <row r="12" spans="1:24" ht="13.5" customHeight="1" x14ac:dyDescent="0.25">
      <c r="A12" s="236" t="s">
        <v>38</v>
      </c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8"/>
    </row>
    <row r="13" spans="1:24" ht="21.75" customHeight="1" thickBot="1" x14ac:dyDescent="0.3">
      <c r="A13" s="239"/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1"/>
    </row>
    <row r="14" spans="1:24" ht="15" customHeight="1" thickBot="1" x14ac:dyDescent="0.3">
      <c r="A14" s="288" t="s">
        <v>31</v>
      </c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  <c r="N14" s="289"/>
      <c r="O14" s="290"/>
      <c r="V14" s="7"/>
      <c r="W14" s="6"/>
      <c r="X14" s="6"/>
    </row>
    <row r="15" spans="1:24" ht="16.5" customHeight="1" x14ac:dyDescent="0.25">
      <c r="A15" s="245" t="s">
        <v>267</v>
      </c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7"/>
      <c r="V15" s="7"/>
      <c r="W15" s="8"/>
      <c r="X15" s="8"/>
    </row>
    <row r="16" spans="1:24" ht="16.5" customHeight="1" x14ac:dyDescent="0.25">
      <c r="A16" s="248" t="s">
        <v>32</v>
      </c>
      <c r="B16" s="249"/>
      <c r="C16" s="66" t="s">
        <v>8</v>
      </c>
      <c r="D16" s="66" t="s">
        <v>9</v>
      </c>
      <c r="E16" s="66" t="s">
        <v>10</v>
      </c>
      <c r="F16" s="66" t="s">
        <v>11</v>
      </c>
      <c r="G16" s="66" t="s">
        <v>12</v>
      </c>
      <c r="H16" s="66" t="s">
        <v>13</v>
      </c>
      <c r="I16" s="66" t="s">
        <v>14</v>
      </c>
      <c r="J16" s="66" t="s">
        <v>15</v>
      </c>
      <c r="K16" s="66" t="s">
        <v>16</v>
      </c>
      <c r="L16" s="66" t="s">
        <v>17</v>
      </c>
      <c r="M16" s="66" t="s">
        <v>18</v>
      </c>
      <c r="N16" s="66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57" t="s">
        <v>39</v>
      </c>
      <c r="B17" s="258"/>
      <c r="C17" s="109">
        <f t="shared" ref="C17:N17" si="0">$O$17</f>
        <v>0.98</v>
      </c>
      <c r="D17" s="109">
        <f t="shared" si="0"/>
        <v>0.98</v>
      </c>
      <c r="E17" s="109">
        <f t="shared" si="0"/>
        <v>0.98</v>
      </c>
      <c r="F17" s="109">
        <f t="shared" si="0"/>
        <v>0.98</v>
      </c>
      <c r="G17" s="109">
        <f t="shared" si="0"/>
        <v>0.98</v>
      </c>
      <c r="H17" s="109">
        <f t="shared" si="0"/>
        <v>0.98</v>
      </c>
      <c r="I17" s="109">
        <f t="shared" si="0"/>
        <v>0.98</v>
      </c>
      <c r="J17" s="109">
        <f t="shared" si="0"/>
        <v>0.98</v>
      </c>
      <c r="K17" s="109">
        <f t="shared" si="0"/>
        <v>0.98</v>
      </c>
      <c r="L17" s="109">
        <f t="shared" si="0"/>
        <v>0.98</v>
      </c>
      <c r="M17" s="109">
        <f t="shared" si="0"/>
        <v>0.98</v>
      </c>
      <c r="N17" s="109">
        <f t="shared" si="0"/>
        <v>0.98</v>
      </c>
      <c r="O17" s="113">
        <f>'SET SP Paicol'!J18</f>
        <v>0.98</v>
      </c>
      <c r="V17" s="7"/>
      <c r="W17" s="8"/>
      <c r="X17" s="8"/>
    </row>
    <row r="18" spans="1:24" ht="17.25" customHeight="1" x14ac:dyDescent="0.25">
      <c r="A18" s="257" t="s">
        <v>268</v>
      </c>
      <c r="B18" s="258"/>
      <c r="C18" s="109">
        <f t="shared" ref="C18:N18" si="1">$O$18</f>
        <v>0.99</v>
      </c>
      <c r="D18" s="109">
        <f t="shared" si="1"/>
        <v>0.99</v>
      </c>
      <c r="E18" s="109">
        <f t="shared" si="1"/>
        <v>0.99</v>
      </c>
      <c r="F18" s="109">
        <f t="shared" si="1"/>
        <v>0.99</v>
      </c>
      <c r="G18" s="109">
        <f t="shared" si="1"/>
        <v>0.99</v>
      </c>
      <c r="H18" s="109">
        <f t="shared" si="1"/>
        <v>0.99</v>
      </c>
      <c r="I18" s="109">
        <f t="shared" si="1"/>
        <v>0.99</v>
      </c>
      <c r="J18" s="109">
        <f t="shared" si="1"/>
        <v>0.99</v>
      </c>
      <c r="K18" s="109">
        <f t="shared" si="1"/>
        <v>0.99</v>
      </c>
      <c r="L18" s="109">
        <f t="shared" si="1"/>
        <v>0.99</v>
      </c>
      <c r="M18" s="109">
        <f t="shared" si="1"/>
        <v>0.99</v>
      </c>
      <c r="N18" s="109">
        <f t="shared" si="1"/>
        <v>0.99</v>
      </c>
      <c r="O18" s="113">
        <f>'SET SP Paicol'!K18</f>
        <v>0.99</v>
      </c>
      <c r="V18" s="7"/>
      <c r="W18" s="8"/>
      <c r="X18" s="8"/>
    </row>
    <row r="19" spans="1:24" ht="17.25" customHeight="1" x14ac:dyDescent="0.25">
      <c r="A19" s="261" t="s">
        <v>263</v>
      </c>
      <c r="B19" s="262"/>
      <c r="C19" s="10">
        <f>IF(ISNUMBER(C20),(720-C20)/720,"-")</f>
        <v>1</v>
      </c>
      <c r="D19" s="10">
        <f t="shared" ref="D19:N19" si="2">IF(ISNUMBER(D20),(720-D20)/720,"-")</f>
        <v>1</v>
      </c>
      <c r="E19" s="10">
        <f t="shared" si="2"/>
        <v>1</v>
      </c>
      <c r="F19" s="10">
        <f t="shared" si="2"/>
        <v>1</v>
      </c>
      <c r="G19" s="10">
        <f t="shared" si="2"/>
        <v>1</v>
      </c>
      <c r="H19" s="10">
        <f t="shared" si="2"/>
        <v>1</v>
      </c>
      <c r="I19" s="10">
        <f t="shared" si="2"/>
        <v>1</v>
      </c>
      <c r="J19" s="10">
        <f t="shared" si="2"/>
        <v>1</v>
      </c>
      <c r="K19" s="10">
        <f t="shared" si="2"/>
        <v>1</v>
      </c>
      <c r="L19" s="10">
        <f t="shared" si="2"/>
        <v>1</v>
      </c>
      <c r="M19" s="10">
        <f t="shared" si="2"/>
        <v>1</v>
      </c>
      <c r="N19" s="10">
        <f t="shared" si="2"/>
        <v>1</v>
      </c>
      <c r="O19" s="11">
        <f>IF(ISNUMBER(O20),(720-O20)/720,"-")</f>
        <v>1</v>
      </c>
      <c r="V19" s="7"/>
      <c r="W19" s="8"/>
      <c r="X19" s="8"/>
    </row>
    <row r="20" spans="1:24" ht="16.5" customHeight="1" x14ac:dyDescent="0.25">
      <c r="A20" s="263" t="s">
        <v>37</v>
      </c>
      <c r="B20" s="31" t="s">
        <v>168</v>
      </c>
      <c r="C20" s="3">
        <f>+PAICOL2020!D39</f>
        <v>0</v>
      </c>
      <c r="D20" s="3">
        <f>+PAICOL2020!E39</f>
        <v>0</v>
      </c>
      <c r="E20" s="3">
        <f>+PAICOL2020!F39</f>
        <v>0</v>
      </c>
      <c r="F20" s="3">
        <f>+PAICOL2020!G39</f>
        <v>0</v>
      </c>
      <c r="G20" s="3">
        <f>+PAICOL2020!H39</f>
        <v>0</v>
      </c>
      <c r="H20" s="3">
        <f>+PAICOL2020!I39</f>
        <v>0</v>
      </c>
      <c r="I20" s="3">
        <f>+PAICOL2020!J39</f>
        <v>0</v>
      </c>
      <c r="J20" s="3">
        <f>+PAICOL2020!K39</f>
        <v>0</v>
      </c>
      <c r="K20" s="3">
        <f>+PAICOL2020!L39</f>
        <v>0</v>
      </c>
      <c r="L20" s="3">
        <f>+PAICOL2020!M39</f>
        <v>0</v>
      </c>
      <c r="M20" s="3">
        <f>+PAICOL2020!N39</f>
        <v>0</v>
      </c>
      <c r="N20" s="3">
        <f>+PAICOL2020!O39</f>
        <v>0</v>
      </c>
      <c r="O20" s="53">
        <f>AVERAGE(C20:N20)</f>
        <v>0</v>
      </c>
      <c r="V20" s="7"/>
      <c r="W20" s="8"/>
      <c r="X20" s="8"/>
    </row>
    <row r="21" spans="1:24" ht="13.5" customHeight="1" x14ac:dyDescent="0.25">
      <c r="A21" s="263"/>
      <c r="B21" s="65" t="s">
        <v>3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6"/>
      <c r="V21" s="7"/>
      <c r="W21" s="8"/>
      <c r="X21" s="8"/>
    </row>
    <row r="22" spans="1:24" ht="14.25" customHeight="1" x14ac:dyDescent="0.25">
      <c r="A22" s="263"/>
      <c r="B22" s="65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/>
      <c r="V22" s="7"/>
      <c r="W22" s="8"/>
      <c r="X22" s="8"/>
    </row>
    <row r="23" spans="1:24" ht="14.25" customHeight="1" thickBot="1" x14ac:dyDescent="0.3">
      <c r="A23" s="264"/>
      <c r="B23" s="67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65" t="s">
        <v>34</v>
      </c>
      <c r="B24" s="266"/>
      <c r="C24" s="267"/>
      <c r="D24" s="254" t="str">
        <f>'SET SP Paicol'!$G18</f>
        <v>Entre 80% y 100%</v>
      </c>
      <c r="E24" s="255"/>
      <c r="F24" s="255"/>
      <c r="G24" s="256"/>
      <c r="H24" s="254" t="str">
        <f>'SET SP Paicol'!$H18</f>
        <v>Entre 60% y 79%</v>
      </c>
      <c r="I24" s="255"/>
      <c r="J24" s="255"/>
      <c r="K24" s="256"/>
      <c r="L24" s="254" t="str">
        <f>'SET SP Paicol'!$I18</f>
        <v>Menor al 59%</v>
      </c>
      <c r="M24" s="259"/>
      <c r="N24" s="259"/>
      <c r="O24" s="260"/>
      <c r="V24" s="7"/>
      <c r="W24" s="8"/>
      <c r="X24" s="8"/>
    </row>
    <row r="25" spans="1:24" ht="33" customHeight="1" thickBot="1" x14ac:dyDescent="0.3">
      <c r="A25" s="268"/>
      <c r="B25" s="269"/>
      <c r="C25" s="269"/>
      <c r="D25" s="270" t="s">
        <v>7</v>
      </c>
      <c r="E25" s="270"/>
      <c r="F25" s="270"/>
      <c r="G25" s="270"/>
      <c r="H25" s="271" t="s">
        <v>61</v>
      </c>
      <c r="I25" s="271"/>
      <c r="J25" s="271"/>
      <c r="K25" s="271"/>
      <c r="L25" s="231" t="s">
        <v>62</v>
      </c>
      <c r="M25" s="231"/>
      <c r="N25" s="231"/>
      <c r="O25" s="232"/>
      <c r="V25" s="7"/>
      <c r="W25" s="8"/>
      <c r="X25" s="8"/>
    </row>
    <row r="26" spans="1:24" ht="15.75" customHeight="1" thickBot="1" x14ac:dyDescent="0.3">
      <c r="A26" s="233" t="s">
        <v>36</v>
      </c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5"/>
      <c r="V26" s="7"/>
      <c r="W26" s="8"/>
      <c r="X26" s="8"/>
    </row>
    <row r="27" spans="1:24" ht="264.75" customHeight="1" thickBot="1" x14ac:dyDescent="0.3">
      <c r="A27" s="251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3"/>
      <c r="V27" s="7"/>
    </row>
    <row r="28" spans="1:24" ht="15" customHeight="1" x14ac:dyDescent="0.25">
      <c r="A28" s="188" t="s">
        <v>58</v>
      </c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90" t="s">
        <v>60</v>
      </c>
      <c r="O28" s="191"/>
    </row>
    <row r="29" spans="1:24" ht="15" customHeight="1" x14ac:dyDescent="0.25">
      <c r="A29" s="182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6">
        <v>45658</v>
      </c>
      <c r="O29" s="187"/>
    </row>
    <row r="30" spans="1:24" ht="15" customHeight="1" x14ac:dyDescent="0.25">
      <c r="A30" s="182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6">
        <v>45689</v>
      </c>
      <c r="O30" s="187"/>
    </row>
    <row r="31" spans="1:24" ht="15" customHeight="1" x14ac:dyDescent="0.25">
      <c r="A31" s="182"/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6">
        <v>45717</v>
      </c>
      <c r="O31" s="187"/>
    </row>
    <row r="32" spans="1:24" ht="15" customHeight="1" x14ac:dyDescent="0.25">
      <c r="A32" s="182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6">
        <v>45748</v>
      </c>
      <c r="O32" s="187"/>
    </row>
    <row r="33" spans="1:17" ht="15" customHeight="1" x14ac:dyDescent="0.25">
      <c r="A33" s="182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6">
        <v>45778</v>
      </c>
      <c r="O33" s="187"/>
    </row>
    <row r="34" spans="1:17" ht="15" customHeight="1" x14ac:dyDescent="0.25">
      <c r="A34" s="182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6">
        <v>45809</v>
      </c>
      <c r="O34" s="187"/>
    </row>
    <row r="35" spans="1:17" ht="15" customHeight="1" x14ac:dyDescent="0.25">
      <c r="A35" s="182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6">
        <v>45839</v>
      </c>
      <c r="O35" s="187"/>
    </row>
    <row r="36" spans="1:17" ht="15" customHeight="1" x14ac:dyDescent="0.25">
      <c r="A36" s="182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6">
        <v>45870</v>
      </c>
      <c r="O36" s="187"/>
    </row>
    <row r="37" spans="1:17" ht="15" customHeight="1" x14ac:dyDescent="0.25">
      <c r="A37" s="182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6">
        <v>45901</v>
      </c>
      <c r="O37" s="187"/>
    </row>
    <row r="38" spans="1:17" ht="15" customHeight="1" x14ac:dyDescent="0.25">
      <c r="A38" s="182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6">
        <v>45931</v>
      </c>
      <c r="O38" s="187"/>
    </row>
    <row r="39" spans="1:17" ht="15" customHeight="1" x14ac:dyDescent="0.25">
      <c r="A39" s="182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6">
        <v>45962</v>
      </c>
      <c r="O39" s="187"/>
    </row>
    <row r="40" spans="1:17" ht="15" customHeight="1" thickBot="1" x14ac:dyDescent="0.3">
      <c r="A40" s="182"/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6">
        <v>45992</v>
      </c>
      <c r="O40" s="187"/>
    </row>
    <row r="41" spans="1:17" ht="19.5" customHeight="1" x14ac:dyDescent="0.25">
      <c r="A41" s="188" t="s">
        <v>59</v>
      </c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90" t="s">
        <v>60</v>
      </c>
      <c r="O41" s="191"/>
    </row>
    <row r="42" spans="1:17" ht="15" x14ac:dyDescent="0.25">
      <c r="A42" s="182" t="s">
        <v>3</v>
      </c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4" t="s">
        <v>3</v>
      </c>
      <c r="O42" s="185"/>
    </row>
    <row r="43" spans="1:17" ht="15.75" thickBot="1" x14ac:dyDescent="0.3">
      <c r="A43" s="283"/>
      <c r="B43" s="284"/>
      <c r="C43" s="284"/>
      <c r="D43" s="284"/>
      <c r="E43" s="284"/>
      <c r="F43" s="284"/>
      <c r="G43" s="284"/>
      <c r="H43" s="284"/>
      <c r="I43" s="284"/>
      <c r="J43" s="284"/>
      <c r="K43" s="284"/>
      <c r="L43" s="284"/>
      <c r="M43" s="284"/>
      <c r="N43" s="284"/>
      <c r="O43" s="285"/>
    </row>
    <row r="44" spans="1:17" ht="5.25" customHeight="1" x14ac:dyDescent="0.25">
      <c r="A44" s="250"/>
      <c r="B44" s="250"/>
      <c r="C44" s="250"/>
      <c r="D44" s="250"/>
      <c r="E44" s="250"/>
      <c r="F44" s="250"/>
      <c r="G44" s="250"/>
      <c r="H44" s="250"/>
      <c r="I44" s="250"/>
      <c r="J44" s="250"/>
      <c r="K44" s="250"/>
      <c r="L44" s="250"/>
      <c r="M44" s="250"/>
      <c r="N44" s="250"/>
      <c r="O44" s="250"/>
    </row>
    <row r="46" spans="1:17" ht="14.25" x14ac:dyDescent="0.2">
      <c r="Q46" s="40" t="s">
        <v>80</v>
      </c>
    </row>
    <row r="47" spans="1:17" ht="14.25" x14ac:dyDescent="0.2">
      <c r="Q47" s="40" t="s">
        <v>81</v>
      </c>
    </row>
    <row r="48" spans="1:17" ht="14.25" x14ac:dyDescent="0.2">
      <c r="Q48" s="40" t="s">
        <v>82</v>
      </c>
    </row>
    <row r="49" spans="17:17" ht="14.25" x14ac:dyDescent="0.2">
      <c r="Q49" s="40" t="s">
        <v>83</v>
      </c>
    </row>
    <row r="50" spans="17:17" ht="14.25" x14ac:dyDescent="0.2">
      <c r="Q50" s="40" t="s">
        <v>84</v>
      </c>
    </row>
    <row r="51" spans="17:17" ht="14.25" x14ac:dyDescent="0.2">
      <c r="Q51" s="40" t="s">
        <v>85</v>
      </c>
    </row>
    <row r="52" spans="17:17" ht="14.25" x14ac:dyDescent="0.2">
      <c r="Q52" s="40" t="s">
        <v>86</v>
      </c>
    </row>
    <row r="53" spans="17:17" ht="14.25" x14ac:dyDescent="0.2">
      <c r="Q53" s="40" t="s">
        <v>87</v>
      </c>
    </row>
    <row r="54" spans="17:17" ht="14.25" x14ac:dyDescent="0.2">
      <c r="Q54" s="40" t="s">
        <v>88</v>
      </c>
    </row>
    <row r="55" spans="17:17" ht="14.25" x14ac:dyDescent="0.2">
      <c r="Q55" s="40" t="s">
        <v>89</v>
      </c>
    </row>
    <row r="56" spans="17:17" ht="14.25" x14ac:dyDescent="0.2">
      <c r="Q56" s="40" t="s">
        <v>90</v>
      </c>
    </row>
    <row r="57" spans="17:17" ht="14.25" x14ac:dyDescent="0.2">
      <c r="Q57" s="40" t="s">
        <v>91</v>
      </c>
    </row>
    <row r="58" spans="17:17" ht="14.25" x14ac:dyDescent="0.2">
      <c r="Q58" s="40" t="s">
        <v>92</v>
      </c>
    </row>
    <row r="60" spans="17:17" x14ac:dyDescent="0.25">
      <c r="Q60" s="9">
        <v>0.9</v>
      </c>
    </row>
    <row r="61" spans="17:17" x14ac:dyDescent="0.25">
      <c r="Q61" s="9">
        <v>0.95</v>
      </c>
    </row>
  </sheetData>
  <mergeCells count="76">
    <mergeCell ref="A6:E6"/>
    <mergeCell ref="F6:O6"/>
    <mergeCell ref="A1:C4"/>
    <mergeCell ref="D1:O1"/>
    <mergeCell ref="D4:O4"/>
    <mergeCell ref="A5:E5"/>
    <mergeCell ref="F5:O5"/>
    <mergeCell ref="D2:O2"/>
    <mergeCell ref="D3:O3"/>
    <mergeCell ref="A7:E7"/>
    <mergeCell ref="F7:O7"/>
    <mergeCell ref="A8:E8"/>
    <mergeCell ref="G8:O8"/>
    <mergeCell ref="A9:D10"/>
    <mergeCell ref="E9:E10"/>
    <mergeCell ref="F9:G10"/>
    <mergeCell ref="H9:H10"/>
    <mergeCell ref="I9:I10"/>
    <mergeCell ref="J9:K10"/>
    <mergeCell ref="A17:B17"/>
    <mergeCell ref="L9:O9"/>
    <mergeCell ref="L10:M10"/>
    <mergeCell ref="N10:O10"/>
    <mergeCell ref="A11:D11"/>
    <mergeCell ref="F11:G11"/>
    <mergeCell ref="J11:O11"/>
    <mergeCell ref="A12:O12"/>
    <mergeCell ref="A13:O13"/>
    <mergeCell ref="A14:O14"/>
    <mergeCell ref="A15:O15"/>
    <mergeCell ref="A16:B16"/>
    <mergeCell ref="A27:O27"/>
    <mergeCell ref="A18:B18"/>
    <mergeCell ref="A19:B19"/>
    <mergeCell ref="A20:A23"/>
    <mergeCell ref="A24:C25"/>
    <mergeCell ref="D24:G24"/>
    <mergeCell ref="H24:K24"/>
    <mergeCell ref="L24:O24"/>
    <mergeCell ref="D25:G25"/>
    <mergeCell ref="H25:K25"/>
    <mergeCell ref="L25:O25"/>
    <mergeCell ref="A26:O26"/>
    <mergeCell ref="A31:M31"/>
    <mergeCell ref="N31:O31"/>
    <mergeCell ref="A32:M32"/>
    <mergeCell ref="N32:O32"/>
    <mergeCell ref="A33:M33"/>
    <mergeCell ref="N33:O33"/>
    <mergeCell ref="A28:M28"/>
    <mergeCell ref="N28:O28"/>
    <mergeCell ref="A29:M29"/>
    <mergeCell ref="N29:O29"/>
    <mergeCell ref="A30:M30"/>
    <mergeCell ref="N30:O30"/>
    <mergeCell ref="A44:O44"/>
    <mergeCell ref="A41:M41"/>
    <mergeCell ref="N41:O41"/>
    <mergeCell ref="A42:M42"/>
    <mergeCell ref="N42:O42"/>
    <mergeCell ref="A43:M43"/>
    <mergeCell ref="N43:O43"/>
    <mergeCell ref="A34:M34"/>
    <mergeCell ref="N34:O34"/>
    <mergeCell ref="A35:M35"/>
    <mergeCell ref="N35:O35"/>
    <mergeCell ref="A36:M36"/>
    <mergeCell ref="N36:O36"/>
    <mergeCell ref="A40:M40"/>
    <mergeCell ref="N40:O40"/>
    <mergeCell ref="A37:M37"/>
    <mergeCell ref="N37:O37"/>
    <mergeCell ref="A38:M38"/>
    <mergeCell ref="N38:O38"/>
    <mergeCell ref="A39:M39"/>
    <mergeCell ref="N39:O39"/>
  </mergeCells>
  <dataValidations count="1">
    <dataValidation type="list" allowBlank="1" showInputMessage="1" showErrorMessage="1" sqref="J11:O11" xr:uid="{00000000-0002-0000-0B00-000000000000}">
      <formula1>$Q$46:$Q$58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X61"/>
  <sheetViews>
    <sheetView topLeftCell="A27"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6.42578125" style="2" customWidth="1"/>
    <col min="17" max="18" width="6.42578125" style="2" hidden="1" customWidth="1"/>
    <col min="19" max="20" width="6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2.75" customHeight="1" x14ac:dyDescent="0.25">
      <c r="A1" s="195"/>
      <c r="B1" s="196"/>
      <c r="C1" s="196"/>
      <c r="D1" s="179" t="s">
        <v>251</v>
      </c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1"/>
    </row>
    <row r="2" spans="1:24" ht="12" customHeight="1" x14ac:dyDescent="0.25">
      <c r="A2" s="197"/>
      <c r="B2" s="198"/>
      <c r="C2" s="198"/>
      <c r="D2" s="308" t="s">
        <v>272</v>
      </c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10"/>
    </row>
    <row r="3" spans="1:24" ht="14.25" customHeight="1" x14ac:dyDescent="0.25">
      <c r="A3" s="197"/>
      <c r="B3" s="198"/>
      <c r="C3" s="198"/>
      <c r="D3" s="311" t="s">
        <v>20</v>
      </c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3"/>
    </row>
    <row r="4" spans="1:24" ht="12" customHeight="1" thickBot="1" x14ac:dyDescent="0.3">
      <c r="A4" s="199"/>
      <c r="B4" s="200"/>
      <c r="C4" s="200"/>
      <c r="D4" s="192" t="s">
        <v>269</v>
      </c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4"/>
    </row>
    <row r="5" spans="1:24" ht="13.5" customHeight="1" x14ac:dyDescent="0.25">
      <c r="A5" s="201" t="s">
        <v>0</v>
      </c>
      <c r="B5" s="202"/>
      <c r="C5" s="202"/>
      <c r="D5" s="202"/>
      <c r="E5" s="202"/>
      <c r="F5" s="202" t="str">
        <f>'SET SP Paicol'!J5</f>
        <v>GESTIÓN DE SERVICIOS PÚBLICOS - PAICOL</v>
      </c>
      <c r="G5" s="202"/>
      <c r="H5" s="202"/>
      <c r="I5" s="202"/>
      <c r="J5" s="202"/>
      <c r="K5" s="202"/>
      <c r="L5" s="202"/>
      <c r="M5" s="202"/>
      <c r="N5" s="202"/>
      <c r="O5" s="203"/>
    </row>
    <row r="6" spans="1:24" ht="15.75" customHeight="1" x14ac:dyDescent="0.25">
      <c r="A6" s="204" t="s">
        <v>1</v>
      </c>
      <c r="B6" s="205"/>
      <c r="C6" s="205"/>
      <c r="D6" s="205"/>
      <c r="E6" s="205"/>
      <c r="F6" s="206" t="str">
        <f>'SET SP Paicol'!$B19</f>
        <v>Continuidad del Servicio (Aseo)</v>
      </c>
      <c r="G6" s="206"/>
      <c r="H6" s="206"/>
      <c r="I6" s="206"/>
      <c r="J6" s="206"/>
      <c r="K6" s="206"/>
      <c r="L6" s="206"/>
      <c r="M6" s="206"/>
      <c r="N6" s="206"/>
      <c r="O6" s="272"/>
    </row>
    <row r="7" spans="1:24" ht="15.75" customHeight="1" x14ac:dyDescent="0.25">
      <c r="A7" s="204" t="s">
        <v>55</v>
      </c>
      <c r="B7" s="205"/>
      <c r="C7" s="205"/>
      <c r="D7" s="205"/>
      <c r="E7" s="205"/>
      <c r="F7" s="223" t="str">
        <f>'SET SP Paicol'!F19</f>
        <v xml:space="preserve">Eficiencia </v>
      </c>
      <c r="G7" s="224"/>
      <c r="H7" s="224"/>
      <c r="I7" s="224"/>
      <c r="J7" s="224"/>
      <c r="K7" s="224"/>
      <c r="L7" s="224"/>
      <c r="M7" s="224"/>
      <c r="N7" s="224"/>
      <c r="O7" s="225"/>
    </row>
    <row r="8" spans="1:24" ht="17.25" customHeight="1" thickBot="1" x14ac:dyDescent="0.3">
      <c r="A8" s="209" t="s">
        <v>21</v>
      </c>
      <c r="B8" s="210"/>
      <c r="C8" s="210"/>
      <c r="D8" s="210"/>
      <c r="E8" s="210"/>
      <c r="F8" s="23" t="s">
        <v>93</v>
      </c>
      <c r="G8" s="211" t="str">
        <f>'SET SP Paicol'!A19</f>
        <v>IN12</v>
      </c>
      <c r="H8" s="211"/>
      <c r="I8" s="211"/>
      <c r="J8" s="211"/>
      <c r="K8" s="211"/>
      <c r="L8" s="211"/>
      <c r="M8" s="211"/>
      <c r="N8" s="211"/>
      <c r="O8" s="276"/>
    </row>
    <row r="9" spans="1:24" ht="12.75" customHeight="1" x14ac:dyDescent="0.25">
      <c r="A9" s="214" t="s">
        <v>22</v>
      </c>
      <c r="B9" s="215"/>
      <c r="C9" s="215"/>
      <c r="D9" s="215"/>
      <c r="E9" s="218" t="s">
        <v>23</v>
      </c>
      <c r="F9" s="218" t="s">
        <v>24</v>
      </c>
      <c r="G9" s="218"/>
      <c r="H9" s="218" t="s">
        <v>25</v>
      </c>
      <c r="I9" s="218" t="s">
        <v>26</v>
      </c>
      <c r="J9" s="218" t="s">
        <v>27</v>
      </c>
      <c r="K9" s="218"/>
      <c r="L9" s="220" t="s">
        <v>28</v>
      </c>
      <c r="M9" s="220"/>
      <c r="N9" s="220"/>
      <c r="O9" s="221"/>
    </row>
    <row r="10" spans="1:24" ht="46.5" customHeight="1" x14ac:dyDescent="0.25">
      <c r="A10" s="216"/>
      <c r="B10" s="217"/>
      <c r="C10" s="217"/>
      <c r="D10" s="217"/>
      <c r="E10" s="219"/>
      <c r="F10" s="219"/>
      <c r="G10" s="219"/>
      <c r="H10" s="219"/>
      <c r="I10" s="219"/>
      <c r="J10" s="219"/>
      <c r="K10" s="219"/>
      <c r="L10" s="217" t="s">
        <v>29</v>
      </c>
      <c r="M10" s="217"/>
      <c r="N10" s="217" t="s">
        <v>30</v>
      </c>
      <c r="O10" s="222"/>
    </row>
    <row r="11" spans="1:24" ht="48.75" customHeight="1" thickBot="1" x14ac:dyDescent="0.3">
      <c r="A11" s="226" t="str">
        <f>'SET SP Paicol'!$C19</f>
        <v>Recolectar los residuos solidos en los dias y rutas establecidas en el PEGIRS.</v>
      </c>
      <c r="B11" s="227"/>
      <c r="C11" s="227"/>
      <c r="D11" s="227"/>
      <c r="E11" s="14" t="s">
        <v>35</v>
      </c>
      <c r="F11" s="295" t="str">
        <f>'SET SP Paicol'!$D19</f>
        <v>Número de dias de recolección de residuos sólidos por semestre / 144</v>
      </c>
      <c r="G11" s="297"/>
      <c r="H11" s="12">
        <f>$O18</f>
        <v>1</v>
      </c>
      <c r="I11" s="13" t="str">
        <f>'SET SP Paicol'!$E19</f>
        <v>Semestral</v>
      </c>
      <c r="J11" s="228" t="s">
        <v>88</v>
      </c>
      <c r="K11" s="229"/>
      <c r="L11" s="229"/>
      <c r="M11" s="229"/>
      <c r="N11" s="229"/>
      <c r="O11" s="230"/>
    </row>
    <row r="12" spans="1:24" ht="13.5" customHeight="1" x14ac:dyDescent="0.25">
      <c r="A12" s="236" t="s">
        <v>38</v>
      </c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8"/>
    </row>
    <row r="13" spans="1:24" ht="21.75" customHeight="1" thickBot="1" x14ac:dyDescent="0.3">
      <c r="A13" s="239"/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1"/>
    </row>
    <row r="14" spans="1:24" ht="15" customHeight="1" thickBot="1" x14ac:dyDescent="0.3">
      <c r="A14" s="288" t="s">
        <v>31</v>
      </c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  <c r="N14" s="289"/>
      <c r="O14" s="290"/>
      <c r="V14" s="7"/>
      <c r="W14" s="6"/>
      <c r="X14" s="6"/>
    </row>
    <row r="15" spans="1:24" ht="16.5" customHeight="1" x14ac:dyDescent="0.25">
      <c r="A15" s="245" t="s">
        <v>267</v>
      </c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7"/>
      <c r="V15" s="7"/>
      <c r="W15" s="8"/>
      <c r="X15" s="8"/>
    </row>
    <row r="16" spans="1:24" ht="16.5" customHeight="1" x14ac:dyDescent="0.25">
      <c r="A16" s="248" t="s">
        <v>32</v>
      </c>
      <c r="B16" s="249"/>
      <c r="C16" s="66" t="s">
        <v>8</v>
      </c>
      <c r="D16" s="66" t="s">
        <v>9</v>
      </c>
      <c r="E16" s="66" t="s">
        <v>10</v>
      </c>
      <c r="F16" s="66" t="s">
        <v>11</v>
      </c>
      <c r="G16" s="66" t="s">
        <v>12</v>
      </c>
      <c r="H16" s="66" t="s">
        <v>13</v>
      </c>
      <c r="I16" s="66" t="s">
        <v>14</v>
      </c>
      <c r="J16" s="66" t="s">
        <v>15</v>
      </c>
      <c r="K16" s="66" t="s">
        <v>16</v>
      </c>
      <c r="L16" s="66" t="s">
        <v>17</v>
      </c>
      <c r="M16" s="66" t="s">
        <v>18</v>
      </c>
      <c r="N16" s="66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57" t="s">
        <v>39</v>
      </c>
      <c r="B17" s="258"/>
      <c r="C17" s="109">
        <f t="shared" ref="C17:N17" si="0">$O$17</f>
        <v>1</v>
      </c>
      <c r="D17" s="109">
        <f t="shared" si="0"/>
        <v>1</v>
      </c>
      <c r="E17" s="109">
        <f t="shared" si="0"/>
        <v>1</v>
      </c>
      <c r="F17" s="109">
        <f t="shared" si="0"/>
        <v>1</v>
      </c>
      <c r="G17" s="109">
        <f t="shared" si="0"/>
        <v>1</v>
      </c>
      <c r="H17" s="109">
        <f t="shared" si="0"/>
        <v>1</v>
      </c>
      <c r="I17" s="109">
        <f t="shared" si="0"/>
        <v>1</v>
      </c>
      <c r="J17" s="109">
        <f t="shared" si="0"/>
        <v>1</v>
      </c>
      <c r="K17" s="109">
        <f t="shared" si="0"/>
        <v>1</v>
      </c>
      <c r="L17" s="109">
        <f t="shared" si="0"/>
        <v>1</v>
      </c>
      <c r="M17" s="109">
        <f t="shared" si="0"/>
        <v>1</v>
      </c>
      <c r="N17" s="109">
        <f t="shared" si="0"/>
        <v>1</v>
      </c>
      <c r="O17" s="113">
        <f>'SET SP Paicol'!J19</f>
        <v>1</v>
      </c>
      <c r="V17" s="7"/>
      <c r="W17" s="8"/>
      <c r="X17" s="8"/>
    </row>
    <row r="18" spans="1:24" ht="17.25" customHeight="1" x14ac:dyDescent="0.25">
      <c r="A18" s="257" t="s">
        <v>268</v>
      </c>
      <c r="B18" s="258"/>
      <c r="C18" s="109">
        <f t="shared" ref="C18:N18" si="1">$O$18</f>
        <v>1</v>
      </c>
      <c r="D18" s="109">
        <f t="shared" si="1"/>
        <v>1</v>
      </c>
      <c r="E18" s="109">
        <f t="shared" si="1"/>
        <v>1</v>
      </c>
      <c r="F18" s="109">
        <f t="shared" si="1"/>
        <v>1</v>
      </c>
      <c r="G18" s="109">
        <f t="shared" si="1"/>
        <v>1</v>
      </c>
      <c r="H18" s="109">
        <f t="shared" si="1"/>
        <v>1</v>
      </c>
      <c r="I18" s="109">
        <f t="shared" si="1"/>
        <v>1</v>
      </c>
      <c r="J18" s="109">
        <f t="shared" si="1"/>
        <v>1</v>
      </c>
      <c r="K18" s="109">
        <f t="shared" si="1"/>
        <v>1</v>
      </c>
      <c r="L18" s="109">
        <f t="shared" si="1"/>
        <v>1</v>
      </c>
      <c r="M18" s="109">
        <f t="shared" si="1"/>
        <v>1</v>
      </c>
      <c r="N18" s="109">
        <f t="shared" si="1"/>
        <v>1</v>
      </c>
      <c r="O18" s="113">
        <f>'SET SP Paicol'!K19</f>
        <v>1</v>
      </c>
      <c r="V18" s="7"/>
      <c r="W18" s="8"/>
      <c r="X18" s="8"/>
    </row>
    <row r="19" spans="1:24" ht="17.25" customHeight="1" x14ac:dyDescent="0.25">
      <c r="A19" s="261" t="s">
        <v>263</v>
      </c>
      <c r="B19" s="262"/>
      <c r="C19" s="10" t="str">
        <f>IF(ISNUMBER(C20),C20/48,"-")</f>
        <v>-</v>
      </c>
      <c r="D19" s="10" t="str">
        <f t="shared" ref="D19:N19" si="2">IF(ISNUMBER(D20),D20/144,"-")</f>
        <v>-</v>
      </c>
      <c r="E19" s="10" t="str">
        <f t="shared" si="2"/>
        <v>-</v>
      </c>
      <c r="F19" s="10" t="str">
        <f t="shared" si="2"/>
        <v>-</v>
      </c>
      <c r="G19" s="10" t="str">
        <f t="shared" si="2"/>
        <v>-</v>
      </c>
      <c r="H19" s="10" t="str">
        <f t="shared" si="2"/>
        <v>-</v>
      </c>
      <c r="I19" s="10" t="str">
        <f t="shared" si="2"/>
        <v>-</v>
      </c>
      <c r="J19" s="10" t="str">
        <f t="shared" si="2"/>
        <v>-</v>
      </c>
      <c r="K19" s="10" t="str">
        <f t="shared" si="2"/>
        <v>-</v>
      </c>
      <c r="L19" s="10" t="str">
        <f t="shared" si="2"/>
        <v>-</v>
      </c>
      <c r="M19" s="10" t="str">
        <f t="shared" si="2"/>
        <v>-</v>
      </c>
      <c r="N19" s="10" t="str">
        <f t="shared" si="2"/>
        <v>-</v>
      </c>
      <c r="O19" s="11" t="str">
        <f t="shared" ref="O19" si="3">IF((O20),O20/144,"-")</f>
        <v>-</v>
      </c>
      <c r="V19" s="7"/>
      <c r="W19" s="8"/>
      <c r="X19" s="8"/>
    </row>
    <row r="20" spans="1:24" ht="21.75" customHeight="1" x14ac:dyDescent="0.25">
      <c r="A20" s="263" t="s">
        <v>37</v>
      </c>
      <c r="B20" s="31" t="s">
        <v>144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16">
        <f>SUM(C20:N20)</f>
        <v>0</v>
      </c>
      <c r="V20" s="7"/>
      <c r="W20" s="8"/>
      <c r="X20" s="8"/>
    </row>
    <row r="21" spans="1:24" ht="18" customHeight="1" x14ac:dyDescent="0.25">
      <c r="A21" s="263"/>
      <c r="B21" s="3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16"/>
      <c r="V21" s="7"/>
      <c r="W21" s="8"/>
      <c r="X21" s="8"/>
    </row>
    <row r="22" spans="1:24" ht="13.5" customHeight="1" x14ac:dyDescent="0.25">
      <c r="A22" s="263"/>
      <c r="B22" s="65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/>
      <c r="V22" s="7"/>
      <c r="W22" s="8"/>
      <c r="X22" s="8"/>
    </row>
    <row r="23" spans="1:24" ht="13.5" customHeight="1" thickBot="1" x14ac:dyDescent="0.3">
      <c r="A23" s="264"/>
      <c r="B23" s="67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65" t="s">
        <v>34</v>
      </c>
      <c r="B24" s="266"/>
      <c r="C24" s="267"/>
      <c r="D24" s="254" t="str">
        <f>'SET SP Paicol'!$G19</f>
        <v>Entre 91% y 100%</v>
      </c>
      <c r="E24" s="255"/>
      <c r="F24" s="255"/>
      <c r="G24" s="256"/>
      <c r="H24" s="254" t="str">
        <f>'SET SP Paicol'!$H19</f>
        <v>Entre 71% y 90%</v>
      </c>
      <c r="I24" s="255"/>
      <c r="J24" s="255"/>
      <c r="K24" s="256"/>
      <c r="L24" s="254" t="str">
        <f>'SET SP Paicol'!$I19</f>
        <v>Menor al 70%</v>
      </c>
      <c r="M24" s="259"/>
      <c r="N24" s="259"/>
      <c r="O24" s="260"/>
      <c r="V24" s="7"/>
      <c r="W24" s="8"/>
      <c r="X24" s="8"/>
    </row>
    <row r="25" spans="1:24" ht="33" customHeight="1" thickBot="1" x14ac:dyDescent="0.3">
      <c r="A25" s="268"/>
      <c r="B25" s="269"/>
      <c r="C25" s="269"/>
      <c r="D25" s="270" t="s">
        <v>7</v>
      </c>
      <c r="E25" s="270"/>
      <c r="F25" s="270"/>
      <c r="G25" s="270"/>
      <c r="H25" s="271" t="s">
        <v>61</v>
      </c>
      <c r="I25" s="271"/>
      <c r="J25" s="271"/>
      <c r="K25" s="271"/>
      <c r="L25" s="231" t="s">
        <v>62</v>
      </c>
      <c r="M25" s="231"/>
      <c r="N25" s="231"/>
      <c r="O25" s="232"/>
      <c r="V25" s="7"/>
      <c r="W25" s="8"/>
      <c r="X25" s="8"/>
    </row>
    <row r="26" spans="1:24" ht="15.75" customHeight="1" thickBot="1" x14ac:dyDescent="0.3">
      <c r="A26" s="233" t="s">
        <v>36</v>
      </c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5"/>
      <c r="V26" s="7"/>
      <c r="W26" s="8"/>
      <c r="X26" s="8"/>
    </row>
    <row r="27" spans="1:24" ht="264.75" customHeight="1" thickBot="1" x14ac:dyDescent="0.3">
      <c r="A27" s="251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3"/>
      <c r="V27" s="7"/>
    </row>
    <row r="28" spans="1:24" ht="15" customHeight="1" x14ac:dyDescent="0.25">
      <c r="A28" s="188" t="s">
        <v>58</v>
      </c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90" t="s">
        <v>60</v>
      </c>
      <c r="O28" s="191"/>
    </row>
    <row r="29" spans="1:24" ht="15" customHeight="1" x14ac:dyDescent="0.25">
      <c r="A29" s="182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6">
        <v>45658</v>
      </c>
      <c r="O29" s="187"/>
    </row>
    <row r="30" spans="1:24" ht="15" customHeight="1" x14ac:dyDescent="0.25">
      <c r="A30" s="182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6">
        <v>45689</v>
      </c>
      <c r="O30" s="187"/>
    </row>
    <row r="31" spans="1:24" ht="15" customHeight="1" x14ac:dyDescent="0.25">
      <c r="A31" s="182"/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6">
        <v>45717</v>
      </c>
      <c r="O31" s="187"/>
    </row>
    <row r="32" spans="1:24" ht="15" customHeight="1" x14ac:dyDescent="0.25">
      <c r="A32" s="182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6">
        <v>45748</v>
      </c>
      <c r="O32" s="187"/>
    </row>
    <row r="33" spans="1:17" ht="15" customHeight="1" x14ac:dyDescent="0.25">
      <c r="A33" s="182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6">
        <v>45778</v>
      </c>
      <c r="O33" s="187"/>
    </row>
    <row r="34" spans="1:17" ht="15" customHeight="1" x14ac:dyDescent="0.25">
      <c r="A34" s="182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6">
        <v>45809</v>
      </c>
      <c r="O34" s="187"/>
    </row>
    <row r="35" spans="1:17" ht="15" customHeight="1" x14ac:dyDescent="0.25">
      <c r="A35" s="182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6">
        <v>45839</v>
      </c>
      <c r="O35" s="187"/>
    </row>
    <row r="36" spans="1:17" ht="15" customHeight="1" x14ac:dyDescent="0.25">
      <c r="A36" s="182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6">
        <v>45870</v>
      </c>
      <c r="O36" s="187"/>
    </row>
    <row r="37" spans="1:17" ht="15" customHeight="1" x14ac:dyDescent="0.25">
      <c r="A37" s="182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6">
        <v>45901</v>
      </c>
      <c r="O37" s="187"/>
    </row>
    <row r="38" spans="1:17" ht="15" customHeight="1" x14ac:dyDescent="0.25">
      <c r="A38" s="182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6">
        <v>45931</v>
      </c>
      <c r="O38" s="187"/>
    </row>
    <row r="39" spans="1:17" ht="15" customHeight="1" x14ac:dyDescent="0.25">
      <c r="A39" s="182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6">
        <v>45962</v>
      </c>
      <c r="O39" s="187"/>
    </row>
    <row r="40" spans="1:17" ht="15" customHeight="1" thickBot="1" x14ac:dyDescent="0.3">
      <c r="A40" s="182"/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6">
        <v>45992</v>
      </c>
      <c r="O40" s="187"/>
    </row>
    <row r="41" spans="1:17" ht="19.5" customHeight="1" x14ac:dyDescent="0.25">
      <c r="A41" s="188" t="s">
        <v>59</v>
      </c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90" t="s">
        <v>60</v>
      </c>
      <c r="O41" s="191"/>
    </row>
    <row r="42" spans="1:17" ht="15" x14ac:dyDescent="0.25">
      <c r="A42" s="182" t="s">
        <v>3</v>
      </c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4" t="s">
        <v>3</v>
      </c>
      <c r="O42" s="185"/>
    </row>
    <row r="43" spans="1:17" ht="15.75" thickBot="1" x14ac:dyDescent="0.3">
      <c r="A43" s="283"/>
      <c r="B43" s="284"/>
      <c r="C43" s="284"/>
      <c r="D43" s="284"/>
      <c r="E43" s="284"/>
      <c r="F43" s="284"/>
      <c r="G43" s="284"/>
      <c r="H43" s="284"/>
      <c r="I43" s="284"/>
      <c r="J43" s="284"/>
      <c r="K43" s="284"/>
      <c r="L43" s="284"/>
      <c r="M43" s="284"/>
      <c r="N43" s="284"/>
      <c r="O43" s="285"/>
    </row>
    <row r="44" spans="1:17" ht="5.25" customHeight="1" x14ac:dyDescent="0.25">
      <c r="A44" s="250"/>
      <c r="B44" s="250"/>
      <c r="C44" s="250"/>
      <c r="D44" s="250"/>
      <c r="E44" s="250"/>
      <c r="F44" s="250"/>
      <c r="G44" s="250"/>
      <c r="H44" s="250"/>
      <c r="I44" s="250"/>
      <c r="J44" s="250"/>
      <c r="K44" s="250"/>
      <c r="L44" s="250"/>
      <c r="M44" s="250"/>
      <c r="N44" s="250"/>
      <c r="O44" s="250"/>
    </row>
    <row r="46" spans="1:17" ht="14.25" x14ac:dyDescent="0.2">
      <c r="Q46" s="40" t="s">
        <v>80</v>
      </c>
    </row>
    <row r="47" spans="1:17" ht="14.25" x14ac:dyDescent="0.2">
      <c r="Q47" s="40" t="s">
        <v>81</v>
      </c>
    </row>
    <row r="48" spans="1:17" ht="14.25" x14ac:dyDescent="0.2">
      <c r="Q48" s="40" t="s">
        <v>82</v>
      </c>
    </row>
    <row r="49" spans="17:17" ht="14.25" x14ac:dyDescent="0.2">
      <c r="Q49" s="40" t="s">
        <v>83</v>
      </c>
    </row>
    <row r="50" spans="17:17" ht="14.25" x14ac:dyDescent="0.2">
      <c r="Q50" s="40" t="s">
        <v>84</v>
      </c>
    </row>
    <row r="51" spans="17:17" ht="14.25" x14ac:dyDescent="0.2">
      <c r="Q51" s="40" t="s">
        <v>85</v>
      </c>
    </row>
    <row r="52" spans="17:17" ht="14.25" x14ac:dyDescent="0.2">
      <c r="Q52" s="40" t="s">
        <v>86</v>
      </c>
    </row>
    <row r="53" spans="17:17" ht="14.25" x14ac:dyDescent="0.2">
      <c r="Q53" s="40" t="s">
        <v>87</v>
      </c>
    </row>
    <row r="54" spans="17:17" ht="14.25" x14ac:dyDescent="0.2">
      <c r="Q54" s="40" t="s">
        <v>88</v>
      </c>
    </row>
    <row r="55" spans="17:17" ht="14.25" x14ac:dyDescent="0.2">
      <c r="Q55" s="40" t="s">
        <v>89</v>
      </c>
    </row>
    <row r="56" spans="17:17" ht="14.25" x14ac:dyDescent="0.2">
      <c r="Q56" s="40" t="s">
        <v>90</v>
      </c>
    </row>
    <row r="57" spans="17:17" ht="14.25" x14ac:dyDescent="0.2">
      <c r="Q57" s="40" t="s">
        <v>91</v>
      </c>
    </row>
    <row r="58" spans="17:17" ht="14.25" x14ac:dyDescent="0.2">
      <c r="Q58" s="40" t="s">
        <v>92</v>
      </c>
    </row>
    <row r="60" spans="17:17" x14ac:dyDescent="0.25">
      <c r="Q60" s="9">
        <v>0.98</v>
      </c>
    </row>
    <row r="61" spans="17:17" x14ac:dyDescent="0.25">
      <c r="Q61" s="9">
        <v>1</v>
      </c>
    </row>
  </sheetData>
  <mergeCells count="76">
    <mergeCell ref="A6:E6"/>
    <mergeCell ref="F6:O6"/>
    <mergeCell ref="A1:C4"/>
    <mergeCell ref="D1:O1"/>
    <mergeCell ref="D4:O4"/>
    <mergeCell ref="A5:E5"/>
    <mergeCell ref="F5:O5"/>
    <mergeCell ref="D2:O2"/>
    <mergeCell ref="D3:O3"/>
    <mergeCell ref="A7:E7"/>
    <mergeCell ref="F7:O7"/>
    <mergeCell ref="A8:E8"/>
    <mergeCell ref="G8:O8"/>
    <mergeCell ref="A9:D10"/>
    <mergeCell ref="E9:E10"/>
    <mergeCell ref="F9:G10"/>
    <mergeCell ref="H9:H10"/>
    <mergeCell ref="I9:I10"/>
    <mergeCell ref="J9:K10"/>
    <mergeCell ref="A17:B17"/>
    <mergeCell ref="L9:O9"/>
    <mergeCell ref="L10:M10"/>
    <mergeCell ref="N10:O10"/>
    <mergeCell ref="A11:D11"/>
    <mergeCell ref="F11:G11"/>
    <mergeCell ref="J11:O11"/>
    <mergeCell ref="A12:O12"/>
    <mergeCell ref="A13:O13"/>
    <mergeCell ref="A14:O14"/>
    <mergeCell ref="A15:O15"/>
    <mergeCell ref="A16:B16"/>
    <mergeCell ref="A27:O27"/>
    <mergeCell ref="A18:B18"/>
    <mergeCell ref="A19:B19"/>
    <mergeCell ref="A20:A23"/>
    <mergeCell ref="A24:C25"/>
    <mergeCell ref="D24:G24"/>
    <mergeCell ref="H24:K24"/>
    <mergeCell ref="L24:O24"/>
    <mergeCell ref="D25:G25"/>
    <mergeCell ref="H25:K25"/>
    <mergeCell ref="L25:O25"/>
    <mergeCell ref="A26:O26"/>
    <mergeCell ref="A31:M31"/>
    <mergeCell ref="N31:O31"/>
    <mergeCell ref="A32:M32"/>
    <mergeCell ref="N32:O32"/>
    <mergeCell ref="A33:M33"/>
    <mergeCell ref="N33:O33"/>
    <mergeCell ref="A28:M28"/>
    <mergeCell ref="N28:O28"/>
    <mergeCell ref="A29:M29"/>
    <mergeCell ref="N29:O29"/>
    <mergeCell ref="A30:M30"/>
    <mergeCell ref="N30:O30"/>
    <mergeCell ref="A44:O44"/>
    <mergeCell ref="A41:M41"/>
    <mergeCell ref="N41:O41"/>
    <mergeCell ref="A42:M42"/>
    <mergeCell ref="N42:O42"/>
    <mergeCell ref="A43:M43"/>
    <mergeCell ref="N43:O43"/>
    <mergeCell ref="A34:M34"/>
    <mergeCell ref="N34:O34"/>
    <mergeCell ref="A35:M35"/>
    <mergeCell ref="N35:O35"/>
    <mergeCell ref="A36:M36"/>
    <mergeCell ref="N36:O36"/>
    <mergeCell ref="A40:M40"/>
    <mergeCell ref="N40:O40"/>
    <mergeCell ref="A37:M37"/>
    <mergeCell ref="N37:O37"/>
    <mergeCell ref="A38:M38"/>
    <mergeCell ref="N38:O38"/>
    <mergeCell ref="A39:M39"/>
    <mergeCell ref="N39:O39"/>
  </mergeCells>
  <dataValidations count="1">
    <dataValidation type="list" allowBlank="1" showInputMessage="1" showErrorMessage="1" sqref="J11:O11" xr:uid="{00000000-0002-0000-0C00-000000000000}">
      <formula1>$Q$46:$Q$58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X61"/>
  <sheetViews>
    <sheetView topLeftCell="A27"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7.5703125" style="2" customWidth="1"/>
    <col min="17" max="18" width="11.42578125" style="2" hidden="1" customWidth="1"/>
    <col min="19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2.75" customHeight="1" x14ac:dyDescent="0.25">
      <c r="A1" s="195"/>
      <c r="B1" s="196"/>
      <c r="C1" s="196"/>
      <c r="D1" s="179" t="s">
        <v>251</v>
      </c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1"/>
    </row>
    <row r="2" spans="1:24" ht="12" customHeight="1" x14ac:dyDescent="0.25">
      <c r="A2" s="197"/>
      <c r="B2" s="198"/>
      <c r="C2" s="198"/>
      <c r="D2" s="308" t="s">
        <v>272</v>
      </c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10"/>
    </row>
    <row r="3" spans="1:24" ht="15.75" customHeight="1" x14ac:dyDescent="0.25">
      <c r="A3" s="197"/>
      <c r="B3" s="198"/>
      <c r="C3" s="198"/>
      <c r="D3" s="311" t="s">
        <v>20</v>
      </c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3"/>
    </row>
    <row r="4" spans="1:24" ht="12.75" customHeight="1" thickBot="1" x14ac:dyDescent="0.3">
      <c r="A4" s="199"/>
      <c r="B4" s="200"/>
      <c r="C4" s="200"/>
      <c r="D4" s="192" t="s">
        <v>269</v>
      </c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4"/>
    </row>
    <row r="5" spans="1:24" ht="13.5" customHeight="1" x14ac:dyDescent="0.25">
      <c r="A5" s="201" t="s">
        <v>0</v>
      </c>
      <c r="B5" s="202"/>
      <c r="C5" s="202"/>
      <c r="D5" s="202"/>
      <c r="E5" s="202"/>
      <c r="F5" s="202" t="str">
        <f>'SET SP Paicol'!J5</f>
        <v>GESTIÓN DE SERVICIOS PÚBLICOS - PAICOL</v>
      </c>
      <c r="G5" s="202"/>
      <c r="H5" s="202"/>
      <c r="I5" s="202"/>
      <c r="J5" s="202"/>
      <c r="K5" s="202"/>
      <c r="L5" s="202"/>
      <c r="M5" s="202"/>
      <c r="N5" s="202"/>
      <c r="O5" s="203"/>
    </row>
    <row r="6" spans="1:24" ht="15.75" customHeight="1" x14ac:dyDescent="0.25">
      <c r="A6" s="204" t="s">
        <v>1</v>
      </c>
      <c r="B6" s="205"/>
      <c r="C6" s="205"/>
      <c r="D6" s="205"/>
      <c r="E6" s="205"/>
      <c r="F6" s="206" t="str">
        <f>'SET SP Paicol'!$B20</f>
        <v>PQR en la prestación del servicio.</v>
      </c>
      <c r="G6" s="206"/>
      <c r="H6" s="206"/>
      <c r="I6" s="206"/>
      <c r="J6" s="206"/>
      <c r="K6" s="206"/>
      <c r="L6" s="206"/>
      <c r="M6" s="206"/>
      <c r="N6" s="206"/>
      <c r="O6" s="272"/>
    </row>
    <row r="7" spans="1:24" ht="15.75" customHeight="1" x14ac:dyDescent="0.25">
      <c r="A7" s="204" t="s">
        <v>55</v>
      </c>
      <c r="B7" s="205"/>
      <c r="C7" s="205"/>
      <c r="D7" s="205"/>
      <c r="E7" s="205"/>
      <c r="F7" s="223" t="str">
        <f>'SET SP Paicol'!F20</f>
        <v xml:space="preserve">Eficiencia </v>
      </c>
      <c r="G7" s="224"/>
      <c r="H7" s="224"/>
      <c r="I7" s="224"/>
      <c r="J7" s="224"/>
      <c r="K7" s="224"/>
      <c r="L7" s="224"/>
      <c r="M7" s="224"/>
      <c r="N7" s="224"/>
      <c r="O7" s="225"/>
    </row>
    <row r="8" spans="1:24" ht="17.25" customHeight="1" thickBot="1" x14ac:dyDescent="0.3">
      <c r="A8" s="209" t="s">
        <v>21</v>
      </c>
      <c r="B8" s="210"/>
      <c r="C8" s="210"/>
      <c r="D8" s="210"/>
      <c r="E8" s="210"/>
      <c r="F8" s="23" t="s">
        <v>93</v>
      </c>
      <c r="G8" s="211" t="str">
        <f>'SET SP Paicol'!A20</f>
        <v>IN13</v>
      </c>
      <c r="H8" s="211"/>
      <c r="I8" s="211"/>
      <c r="J8" s="211"/>
      <c r="K8" s="211"/>
      <c r="L8" s="211"/>
      <c r="M8" s="211"/>
      <c r="N8" s="211"/>
      <c r="O8" s="276"/>
    </row>
    <row r="9" spans="1:24" ht="12.75" customHeight="1" x14ac:dyDescent="0.25">
      <c r="A9" s="214" t="s">
        <v>22</v>
      </c>
      <c r="B9" s="215"/>
      <c r="C9" s="215"/>
      <c r="D9" s="215"/>
      <c r="E9" s="218" t="s">
        <v>23</v>
      </c>
      <c r="F9" s="218" t="s">
        <v>24</v>
      </c>
      <c r="G9" s="218"/>
      <c r="H9" s="218" t="s">
        <v>25</v>
      </c>
      <c r="I9" s="218" t="s">
        <v>26</v>
      </c>
      <c r="J9" s="218" t="s">
        <v>27</v>
      </c>
      <c r="K9" s="218"/>
      <c r="L9" s="220" t="s">
        <v>28</v>
      </c>
      <c r="M9" s="220"/>
      <c r="N9" s="220"/>
      <c r="O9" s="221"/>
    </row>
    <row r="10" spans="1:24" ht="46.5" customHeight="1" x14ac:dyDescent="0.25">
      <c r="A10" s="216"/>
      <c r="B10" s="217"/>
      <c r="C10" s="217"/>
      <c r="D10" s="217"/>
      <c r="E10" s="219"/>
      <c r="F10" s="219"/>
      <c r="G10" s="219"/>
      <c r="H10" s="219"/>
      <c r="I10" s="219"/>
      <c r="J10" s="219"/>
      <c r="K10" s="219"/>
      <c r="L10" s="217" t="s">
        <v>29</v>
      </c>
      <c r="M10" s="217"/>
      <c r="N10" s="217" t="s">
        <v>30</v>
      </c>
      <c r="O10" s="222"/>
    </row>
    <row r="11" spans="1:24" ht="48" customHeight="1" thickBot="1" x14ac:dyDescent="0.3">
      <c r="A11" s="226" t="str">
        <f>'SET SP Paicol'!$C20</f>
        <v>Medir el grado de satisfación de los suscriptores en la prestación del servicio.</v>
      </c>
      <c r="B11" s="227"/>
      <c r="C11" s="227"/>
      <c r="D11" s="227"/>
      <c r="E11" s="14" t="s">
        <v>35</v>
      </c>
      <c r="F11" s="295" t="str">
        <f>'SET SP Paicol'!$D20</f>
        <v>Número de PQR recibidas / número de suscriptores del servicio*100</v>
      </c>
      <c r="G11" s="297"/>
      <c r="H11" s="12" t="str">
        <f>$O18</f>
        <v>&lt; 1%</v>
      </c>
      <c r="I11" s="13" t="str">
        <f>'SET SP Paicol'!$E20</f>
        <v>Trimestral</v>
      </c>
      <c r="J11" s="228" t="s">
        <v>88</v>
      </c>
      <c r="K11" s="229"/>
      <c r="L11" s="229"/>
      <c r="M11" s="229"/>
      <c r="N11" s="229"/>
      <c r="O11" s="230"/>
    </row>
    <row r="12" spans="1:24" ht="13.5" customHeight="1" x14ac:dyDescent="0.25">
      <c r="A12" s="236" t="s">
        <v>38</v>
      </c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8"/>
    </row>
    <row r="13" spans="1:24" ht="21.75" customHeight="1" thickBot="1" x14ac:dyDescent="0.3">
      <c r="A13" s="239"/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1"/>
    </row>
    <row r="14" spans="1:24" ht="15" customHeight="1" thickBot="1" x14ac:dyDescent="0.3">
      <c r="A14" s="288" t="s">
        <v>31</v>
      </c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  <c r="N14" s="289"/>
      <c r="O14" s="290"/>
      <c r="V14" s="7"/>
      <c r="W14" s="6"/>
      <c r="X14" s="6"/>
    </row>
    <row r="15" spans="1:24" ht="16.5" customHeight="1" x14ac:dyDescent="0.25">
      <c r="A15" s="245" t="s">
        <v>267</v>
      </c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7"/>
      <c r="V15" s="7"/>
      <c r="W15" s="8"/>
      <c r="X15" s="8"/>
    </row>
    <row r="16" spans="1:24" ht="16.5" customHeight="1" x14ac:dyDescent="0.25">
      <c r="A16" s="248" t="s">
        <v>32</v>
      </c>
      <c r="B16" s="249"/>
      <c r="C16" s="66" t="s">
        <v>8</v>
      </c>
      <c r="D16" s="66" t="s">
        <v>9</v>
      </c>
      <c r="E16" s="66" t="s">
        <v>10</v>
      </c>
      <c r="F16" s="66" t="s">
        <v>11</v>
      </c>
      <c r="G16" s="66" t="s">
        <v>12</v>
      </c>
      <c r="H16" s="66" t="s">
        <v>13</v>
      </c>
      <c r="I16" s="66" t="s">
        <v>14</v>
      </c>
      <c r="J16" s="66" t="s">
        <v>15</v>
      </c>
      <c r="K16" s="66" t="s">
        <v>16</v>
      </c>
      <c r="L16" s="66" t="s">
        <v>17</v>
      </c>
      <c r="M16" s="66" t="s">
        <v>18</v>
      </c>
      <c r="N16" s="66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57" t="s">
        <v>39</v>
      </c>
      <c r="B17" s="258"/>
      <c r="C17" s="109" t="str">
        <f t="shared" ref="C17:N17" si="0">$O$17</f>
        <v>&lt; 1%</v>
      </c>
      <c r="D17" s="109" t="str">
        <f t="shared" si="0"/>
        <v>&lt; 1%</v>
      </c>
      <c r="E17" s="109" t="str">
        <f t="shared" si="0"/>
        <v>&lt; 1%</v>
      </c>
      <c r="F17" s="109" t="str">
        <f t="shared" si="0"/>
        <v>&lt; 1%</v>
      </c>
      <c r="G17" s="109" t="str">
        <f t="shared" si="0"/>
        <v>&lt; 1%</v>
      </c>
      <c r="H17" s="109" t="str">
        <f t="shared" si="0"/>
        <v>&lt; 1%</v>
      </c>
      <c r="I17" s="109" t="str">
        <f t="shared" si="0"/>
        <v>&lt; 1%</v>
      </c>
      <c r="J17" s="109" t="str">
        <f t="shared" si="0"/>
        <v>&lt; 1%</v>
      </c>
      <c r="K17" s="109" t="str">
        <f t="shared" si="0"/>
        <v>&lt; 1%</v>
      </c>
      <c r="L17" s="109" t="str">
        <f t="shared" si="0"/>
        <v>&lt; 1%</v>
      </c>
      <c r="M17" s="109" t="str">
        <f t="shared" si="0"/>
        <v>&lt; 1%</v>
      </c>
      <c r="N17" s="109" t="str">
        <f t="shared" si="0"/>
        <v>&lt; 1%</v>
      </c>
      <c r="O17" s="113" t="str">
        <f>'SET SP Paicol'!J20</f>
        <v>&lt; 1%</v>
      </c>
      <c r="V17" s="7"/>
      <c r="W17" s="8"/>
      <c r="X17" s="8"/>
    </row>
    <row r="18" spans="1:24" ht="17.25" customHeight="1" x14ac:dyDescent="0.25">
      <c r="A18" s="257" t="s">
        <v>268</v>
      </c>
      <c r="B18" s="258"/>
      <c r="C18" s="109" t="str">
        <f t="shared" ref="C18:N18" si="1">$O$18</f>
        <v>&lt; 1%</v>
      </c>
      <c r="D18" s="109" t="str">
        <f t="shared" si="1"/>
        <v>&lt; 1%</v>
      </c>
      <c r="E18" s="109" t="str">
        <f t="shared" si="1"/>
        <v>&lt; 1%</v>
      </c>
      <c r="F18" s="109" t="str">
        <f t="shared" si="1"/>
        <v>&lt; 1%</v>
      </c>
      <c r="G18" s="109" t="str">
        <f t="shared" si="1"/>
        <v>&lt; 1%</v>
      </c>
      <c r="H18" s="109" t="str">
        <f t="shared" si="1"/>
        <v>&lt; 1%</v>
      </c>
      <c r="I18" s="109" t="str">
        <f t="shared" si="1"/>
        <v>&lt; 1%</v>
      </c>
      <c r="J18" s="109" t="str">
        <f t="shared" si="1"/>
        <v>&lt; 1%</v>
      </c>
      <c r="K18" s="109" t="str">
        <f t="shared" si="1"/>
        <v>&lt; 1%</v>
      </c>
      <c r="L18" s="109" t="str">
        <f t="shared" si="1"/>
        <v>&lt; 1%</v>
      </c>
      <c r="M18" s="109" t="str">
        <f t="shared" si="1"/>
        <v>&lt; 1%</v>
      </c>
      <c r="N18" s="109" t="str">
        <f t="shared" si="1"/>
        <v>&lt; 1%</v>
      </c>
      <c r="O18" s="113" t="str">
        <f>'SET SP Paicol'!K20</f>
        <v>&lt; 1%</v>
      </c>
      <c r="V18" s="7"/>
      <c r="W18" s="8"/>
      <c r="X18" s="8"/>
    </row>
    <row r="19" spans="1:24" ht="17.25" customHeight="1" x14ac:dyDescent="0.25">
      <c r="A19" s="261" t="s">
        <v>263</v>
      </c>
      <c r="B19" s="262"/>
      <c r="C19" s="10">
        <f t="shared" ref="C19:E19" si="2">IF((C21),C20/C21,"-")</f>
        <v>2.7027027027027029E-3</v>
      </c>
      <c r="D19" s="10">
        <f t="shared" si="2"/>
        <v>2.7051397655545538E-3</v>
      </c>
      <c r="E19" s="10">
        <f t="shared" si="2"/>
        <v>0</v>
      </c>
      <c r="F19" s="10">
        <f>IF((F21),F20/F21,"-")</f>
        <v>0</v>
      </c>
      <c r="G19" s="10" t="str">
        <f t="shared" ref="G19:O19" si="3">IF((G21),G20/G21,"-")</f>
        <v>-</v>
      </c>
      <c r="H19" s="10" t="str">
        <f t="shared" si="3"/>
        <v>-</v>
      </c>
      <c r="I19" s="10" t="str">
        <f t="shared" si="3"/>
        <v>-</v>
      </c>
      <c r="J19" s="10" t="str">
        <f t="shared" si="3"/>
        <v>-</v>
      </c>
      <c r="K19" s="10" t="str">
        <f t="shared" si="3"/>
        <v>-</v>
      </c>
      <c r="L19" s="10" t="str">
        <f t="shared" si="3"/>
        <v>-</v>
      </c>
      <c r="M19" s="10" t="str">
        <f t="shared" si="3"/>
        <v>-</v>
      </c>
      <c r="N19" s="10">
        <f t="shared" si="3"/>
        <v>2.6666666666666666E-3</v>
      </c>
      <c r="O19" s="11">
        <f t="shared" si="3"/>
        <v>1.6184139543247618E-3</v>
      </c>
      <c r="V19" s="7"/>
      <c r="W19" s="8"/>
      <c r="X19" s="8"/>
    </row>
    <row r="20" spans="1:24" ht="15" customHeight="1" x14ac:dyDescent="0.25">
      <c r="A20" s="263" t="s">
        <v>37</v>
      </c>
      <c r="B20" s="31" t="s">
        <v>166</v>
      </c>
      <c r="C20" s="20">
        <f>+PAICOL2020!D40</f>
        <v>3</v>
      </c>
      <c r="D20" s="20">
        <f>+PAICOL2020!E40</f>
        <v>3</v>
      </c>
      <c r="E20" s="20">
        <f>+PAICOL2020!F40</f>
        <v>0</v>
      </c>
      <c r="F20" s="20">
        <f>+PAICOL2020!G40</f>
        <v>0</v>
      </c>
      <c r="G20" s="20">
        <f>+PAICOL2020!H40</f>
        <v>0</v>
      </c>
      <c r="H20" s="20">
        <f>+PAICOL2020!I40</f>
        <v>0</v>
      </c>
      <c r="I20" s="20">
        <f>+PAICOL2020!J40</f>
        <v>0</v>
      </c>
      <c r="J20" s="20">
        <f>+PAICOL2020!K40</f>
        <v>0</v>
      </c>
      <c r="K20" s="20">
        <f>+PAICOL2020!L40</f>
        <v>0</v>
      </c>
      <c r="L20" s="20">
        <f>+PAICOL2020!M40</f>
        <v>0</v>
      </c>
      <c r="M20" s="20">
        <f>+PAICOL2020!N40</f>
        <v>0</v>
      </c>
      <c r="N20" s="20">
        <f>+PAICOL2020!O40</f>
        <v>3</v>
      </c>
      <c r="O20" s="21">
        <f>SUM(C20:N20)</f>
        <v>9</v>
      </c>
      <c r="V20" s="7"/>
      <c r="W20" s="8"/>
      <c r="X20" s="8"/>
    </row>
    <row r="21" spans="1:24" ht="12.75" customHeight="1" x14ac:dyDescent="0.25">
      <c r="A21" s="263"/>
      <c r="B21" s="31" t="s">
        <v>167</v>
      </c>
      <c r="C21" s="20">
        <f>+'08'!C21</f>
        <v>1110</v>
      </c>
      <c r="D21" s="20">
        <f>+'08'!D21</f>
        <v>1109</v>
      </c>
      <c r="E21" s="20">
        <f>+'08'!E21</f>
        <v>1110</v>
      </c>
      <c r="F21" s="20">
        <f>+'08'!F21</f>
        <v>1107</v>
      </c>
      <c r="G21" s="20">
        <f>+'08'!G21</f>
        <v>0</v>
      </c>
      <c r="H21" s="20">
        <f>+'08'!H21</f>
        <v>0</v>
      </c>
      <c r="I21" s="20">
        <f>+'08'!I21</f>
        <v>0</v>
      </c>
      <c r="J21" s="20">
        <f>+'08'!J21</f>
        <v>0</v>
      </c>
      <c r="K21" s="20">
        <f>+'08'!K21</f>
        <v>0</v>
      </c>
      <c r="L21" s="20">
        <f>+'08'!L21</f>
        <v>0</v>
      </c>
      <c r="M21" s="20">
        <f>+'08'!M21</f>
        <v>0</v>
      </c>
      <c r="N21" s="20">
        <f>+'08'!N21</f>
        <v>1125</v>
      </c>
      <c r="O21" s="21">
        <f>SUM(C21:N21)</f>
        <v>5561</v>
      </c>
      <c r="V21" s="7"/>
      <c r="W21" s="8"/>
      <c r="X21" s="8"/>
    </row>
    <row r="22" spans="1:24" ht="12.75" customHeight="1" x14ac:dyDescent="0.25">
      <c r="A22" s="263"/>
      <c r="B22" s="65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/>
      <c r="V22" s="7"/>
      <c r="W22" s="8"/>
      <c r="X22" s="8"/>
    </row>
    <row r="23" spans="1:24" ht="13.5" customHeight="1" thickBot="1" x14ac:dyDescent="0.3">
      <c r="A23" s="264"/>
      <c r="B23" s="67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65" t="s">
        <v>34</v>
      </c>
      <c r="B24" s="266"/>
      <c r="C24" s="267"/>
      <c r="D24" s="254" t="str">
        <f>'SET SP Paicol'!$G20</f>
        <v>Entre 0 y 10%</v>
      </c>
      <c r="E24" s="255"/>
      <c r="F24" s="255"/>
      <c r="G24" s="256"/>
      <c r="H24" s="254" t="str">
        <f>'SET SP Paicol'!$H20</f>
        <v>Entre 11% y el 20%</v>
      </c>
      <c r="I24" s="255"/>
      <c r="J24" s="255"/>
      <c r="K24" s="256"/>
      <c r="L24" s="254" t="str">
        <f>'SET SP Paicol'!$I20</f>
        <v>Mayor al 21%</v>
      </c>
      <c r="M24" s="259"/>
      <c r="N24" s="259"/>
      <c r="O24" s="260"/>
      <c r="V24" s="7"/>
      <c r="W24" s="8"/>
      <c r="X24" s="8"/>
    </row>
    <row r="25" spans="1:24" ht="33" customHeight="1" thickBot="1" x14ac:dyDescent="0.3">
      <c r="A25" s="268"/>
      <c r="B25" s="269"/>
      <c r="C25" s="269"/>
      <c r="D25" s="270" t="s">
        <v>7</v>
      </c>
      <c r="E25" s="270"/>
      <c r="F25" s="270"/>
      <c r="G25" s="270"/>
      <c r="H25" s="271" t="s">
        <v>61</v>
      </c>
      <c r="I25" s="271"/>
      <c r="J25" s="271"/>
      <c r="K25" s="271"/>
      <c r="L25" s="231" t="s">
        <v>62</v>
      </c>
      <c r="M25" s="231"/>
      <c r="N25" s="231"/>
      <c r="O25" s="232"/>
      <c r="V25" s="7"/>
      <c r="W25" s="8"/>
      <c r="X25" s="8"/>
    </row>
    <row r="26" spans="1:24" ht="15.75" customHeight="1" thickBot="1" x14ac:dyDescent="0.3">
      <c r="A26" s="233" t="s">
        <v>36</v>
      </c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5"/>
      <c r="V26" s="7"/>
      <c r="W26" s="8"/>
      <c r="X26" s="8"/>
    </row>
    <row r="27" spans="1:24" ht="264.75" customHeight="1" thickBot="1" x14ac:dyDescent="0.3">
      <c r="A27" s="251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3"/>
      <c r="V27" s="7"/>
    </row>
    <row r="28" spans="1:24" ht="15" customHeight="1" x14ac:dyDescent="0.25">
      <c r="A28" s="188" t="s">
        <v>58</v>
      </c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90" t="s">
        <v>60</v>
      </c>
      <c r="O28" s="191"/>
    </row>
    <row r="29" spans="1:24" ht="15" customHeight="1" x14ac:dyDescent="0.25">
      <c r="A29" s="182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6">
        <v>45658</v>
      </c>
      <c r="O29" s="187"/>
    </row>
    <row r="30" spans="1:24" ht="15" customHeight="1" x14ac:dyDescent="0.25">
      <c r="A30" s="182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6">
        <v>45689</v>
      </c>
      <c r="O30" s="187"/>
    </row>
    <row r="31" spans="1:24" ht="15" customHeight="1" x14ac:dyDescent="0.25">
      <c r="A31" s="182"/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6">
        <v>45717</v>
      </c>
      <c r="O31" s="187"/>
    </row>
    <row r="32" spans="1:24" ht="15" customHeight="1" x14ac:dyDescent="0.25">
      <c r="A32" s="182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6">
        <v>45748</v>
      </c>
      <c r="O32" s="187"/>
    </row>
    <row r="33" spans="1:17" ht="15" customHeight="1" x14ac:dyDescent="0.25">
      <c r="A33" s="182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6">
        <v>45778</v>
      </c>
      <c r="O33" s="187"/>
    </row>
    <row r="34" spans="1:17" ht="15" customHeight="1" x14ac:dyDescent="0.25">
      <c r="A34" s="182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6">
        <v>45809</v>
      </c>
      <c r="O34" s="187"/>
    </row>
    <row r="35" spans="1:17" ht="15" customHeight="1" x14ac:dyDescent="0.25">
      <c r="A35" s="182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6">
        <v>45839</v>
      </c>
      <c r="O35" s="187"/>
    </row>
    <row r="36" spans="1:17" ht="15" customHeight="1" x14ac:dyDescent="0.25">
      <c r="A36" s="182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6">
        <v>45870</v>
      </c>
      <c r="O36" s="187"/>
    </row>
    <row r="37" spans="1:17" ht="15" customHeight="1" x14ac:dyDescent="0.25">
      <c r="A37" s="182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6">
        <v>45901</v>
      </c>
      <c r="O37" s="187"/>
    </row>
    <row r="38" spans="1:17" ht="15" customHeight="1" x14ac:dyDescent="0.25">
      <c r="A38" s="182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6">
        <v>45931</v>
      </c>
      <c r="O38" s="187"/>
    </row>
    <row r="39" spans="1:17" ht="15" customHeight="1" x14ac:dyDescent="0.25">
      <c r="A39" s="182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6">
        <v>45962</v>
      </c>
      <c r="O39" s="187"/>
    </row>
    <row r="40" spans="1:17" ht="15" customHeight="1" thickBot="1" x14ac:dyDescent="0.3">
      <c r="A40" s="182"/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6">
        <v>45992</v>
      </c>
      <c r="O40" s="187"/>
    </row>
    <row r="41" spans="1:17" ht="19.5" customHeight="1" x14ac:dyDescent="0.25">
      <c r="A41" s="188" t="s">
        <v>59</v>
      </c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90" t="s">
        <v>60</v>
      </c>
      <c r="O41" s="191"/>
    </row>
    <row r="42" spans="1:17" ht="15" x14ac:dyDescent="0.25">
      <c r="A42" s="182" t="s">
        <v>3</v>
      </c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4" t="s">
        <v>3</v>
      </c>
      <c r="O42" s="185"/>
    </row>
    <row r="43" spans="1:17" ht="15.75" thickBot="1" x14ac:dyDescent="0.3">
      <c r="A43" s="283"/>
      <c r="B43" s="284"/>
      <c r="C43" s="284"/>
      <c r="D43" s="284"/>
      <c r="E43" s="284"/>
      <c r="F43" s="284"/>
      <c r="G43" s="284"/>
      <c r="H43" s="284"/>
      <c r="I43" s="284"/>
      <c r="J43" s="284"/>
      <c r="K43" s="284"/>
      <c r="L43" s="284"/>
      <c r="M43" s="284"/>
      <c r="N43" s="284"/>
      <c r="O43" s="285"/>
    </row>
    <row r="44" spans="1:17" ht="5.25" customHeight="1" x14ac:dyDescent="0.25">
      <c r="A44" s="250"/>
      <c r="B44" s="250"/>
      <c r="C44" s="250"/>
      <c r="D44" s="250"/>
      <c r="E44" s="250"/>
      <c r="F44" s="250"/>
      <c r="G44" s="250"/>
      <c r="H44" s="250"/>
      <c r="I44" s="250"/>
      <c r="J44" s="250"/>
      <c r="K44" s="250"/>
      <c r="L44" s="250"/>
      <c r="M44" s="250"/>
      <c r="N44" s="250"/>
      <c r="O44" s="250"/>
    </row>
    <row r="46" spans="1:17" ht="14.25" x14ac:dyDescent="0.2">
      <c r="Q46" s="40" t="s">
        <v>80</v>
      </c>
    </row>
    <row r="47" spans="1:17" ht="14.25" x14ac:dyDescent="0.2">
      <c r="Q47" s="40" t="s">
        <v>81</v>
      </c>
    </row>
    <row r="48" spans="1:17" ht="14.25" x14ac:dyDescent="0.2">
      <c r="Q48" s="40" t="s">
        <v>82</v>
      </c>
    </row>
    <row r="49" spans="17:17" ht="14.25" x14ac:dyDescent="0.2">
      <c r="Q49" s="40" t="s">
        <v>83</v>
      </c>
    </row>
    <row r="50" spans="17:17" ht="14.25" x14ac:dyDescent="0.2">
      <c r="Q50" s="40" t="s">
        <v>84</v>
      </c>
    </row>
    <row r="51" spans="17:17" ht="14.25" x14ac:dyDescent="0.2">
      <c r="Q51" s="40" t="s">
        <v>85</v>
      </c>
    </row>
    <row r="52" spans="17:17" ht="14.25" x14ac:dyDescent="0.2">
      <c r="Q52" s="40" t="s">
        <v>86</v>
      </c>
    </row>
    <row r="53" spans="17:17" ht="14.25" x14ac:dyDescent="0.2">
      <c r="Q53" s="40" t="s">
        <v>87</v>
      </c>
    </row>
    <row r="54" spans="17:17" ht="14.25" x14ac:dyDescent="0.2">
      <c r="Q54" s="40" t="s">
        <v>88</v>
      </c>
    </row>
    <row r="55" spans="17:17" ht="14.25" x14ac:dyDescent="0.2">
      <c r="Q55" s="40" t="s">
        <v>89</v>
      </c>
    </row>
    <row r="56" spans="17:17" ht="14.25" x14ac:dyDescent="0.2">
      <c r="Q56" s="40" t="s">
        <v>90</v>
      </c>
    </row>
    <row r="57" spans="17:17" ht="14.25" x14ac:dyDescent="0.2">
      <c r="Q57" s="40" t="s">
        <v>91</v>
      </c>
    </row>
    <row r="58" spans="17:17" ht="14.25" x14ac:dyDescent="0.2">
      <c r="Q58" s="40" t="s">
        <v>92</v>
      </c>
    </row>
    <row r="60" spans="17:17" x14ac:dyDescent="0.25">
      <c r="Q60" s="52" t="s">
        <v>174</v>
      </c>
    </row>
    <row r="61" spans="17:17" x14ac:dyDescent="0.25">
      <c r="Q61" s="52" t="s">
        <v>173</v>
      </c>
    </row>
  </sheetData>
  <mergeCells count="76">
    <mergeCell ref="A6:E6"/>
    <mergeCell ref="F6:O6"/>
    <mergeCell ref="A1:C4"/>
    <mergeCell ref="D1:O1"/>
    <mergeCell ref="D4:O4"/>
    <mergeCell ref="A5:E5"/>
    <mergeCell ref="F5:O5"/>
    <mergeCell ref="D2:O2"/>
    <mergeCell ref="D3:O3"/>
    <mergeCell ref="A7:E7"/>
    <mergeCell ref="F7:O7"/>
    <mergeCell ref="A8:E8"/>
    <mergeCell ref="G8:O8"/>
    <mergeCell ref="A9:D10"/>
    <mergeCell ref="E9:E10"/>
    <mergeCell ref="F9:G10"/>
    <mergeCell ref="H9:H10"/>
    <mergeCell ref="I9:I10"/>
    <mergeCell ref="J9:K10"/>
    <mergeCell ref="A17:B17"/>
    <mergeCell ref="L9:O9"/>
    <mergeCell ref="L10:M10"/>
    <mergeCell ref="N10:O10"/>
    <mergeCell ref="A11:D11"/>
    <mergeCell ref="F11:G11"/>
    <mergeCell ref="J11:O11"/>
    <mergeCell ref="A12:O12"/>
    <mergeCell ref="A13:O13"/>
    <mergeCell ref="A14:O14"/>
    <mergeCell ref="A15:O15"/>
    <mergeCell ref="A16:B16"/>
    <mergeCell ref="A27:O27"/>
    <mergeCell ref="A18:B18"/>
    <mergeCell ref="A19:B19"/>
    <mergeCell ref="A20:A23"/>
    <mergeCell ref="A24:C25"/>
    <mergeCell ref="D24:G24"/>
    <mergeCell ref="H24:K24"/>
    <mergeCell ref="L24:O24"/>
    <mergeCell ref="D25:G25"/>
    <mergeCell ref="H25:K25"/>
    <mergeCell ref="L25:O25"/>
    <mergeCell ref="A26:O26"/>
    <mergeCell ref="A31:M31"/>
    <mergeCell ref="N31:O31"/>
    <mergeCell ref="A32:M32"/>
    <mergeCell ref="N32:O32"/>
    <mergeCell ref="A33:M33"/>
    <mergeCell ref="N33:O33"/>
    <mergeCell ref="A28:M28"/>
    <mergeCell ref="N28:O28"/>
    <mergeCell ref="A29:M29"/>
    <mergeCell ref="N29:O29"/>
    <mergeCell ref="A30:M30"/>
    <mergeCell ref="N30:O30"/>
    <mergeCell ref="A44:O44"/>
    <mergeCell ref="A41:M41"/>
    <mergeCell ref="N41:O41"/>
    <mergeCell ref="A42:M42"/>
    <mergeCell ref="N42:O42"/>
    <mergeCell ref="A43:M43"/>
    <mergeCell ref="N43:O43"/>
    <mergeCell ref="A34:M34"/>
    <mergeCell ref="N34:O34"/>
    <mergeCell ref="A35:M35"/>
    <mergeCell ref="N35:O35"/>
    <mergeCell ref="A36:M36"/>
    <mergeCell ref="N36:O36"/>
    <mergeCell ref="A40:M40"/>
    <mergeCell ref="N40:O40"/>
    <mergeCell ref="A37:M37"/>
    <mergeCell ref="N37:O37"/>
    <mergeCell ref="A38:M38"/>
    <mergeCell ref="N38:O38"/>
    <mergeCell ref="A39:M39"/>
    <mergeCell ref="N39:O39"/>
  </mergeCells>
  <dataValidations count="1">
    <dataValidation type="list" allowBlank="1" showInputMessage="1" showErrorMessage="1" sqref="J11:O11" xr:uid="{00000000-0002-0000-0D00-000000000000}">
      <formula1>$Q$46:$Q$58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X62"/>
  <sheetViews>
    <sheetView topLeftCell="A27"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6.28515625" style="2" customWidth="1"/>
    <col min="17" max="18" width="6.28515625" style="2" hidden="1" customWidth="1"/>
    <col min="19" max="19" width="6.28515625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4.25" customHeight="1" x14ac:dyDescent="0.25">
      <c r="A1" s="195"/>
      <c r="B1" s="196"/>
      <c r="C1" s="196"/>
      <c r="D1" s="179" t="s">
        <v>251</v>
      </c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1"/>
    </row>
    <row r="2" spans="1:24" ht="11.25" customHeight="1" x14ac:dyDescent="0.25">
      <c r="A2" s="197"/>
      <c r="B2" s="198"/>
      <c r="C2" s="198"/>
      <c r="D2" s="308" t="s">
        <v>272</v>
      </c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10"/>
    </row>
    <row r="3" spans="1:24" ht="15.75" customHeight="1" x14ac:dyDescent="0.25">
      <c r="A3" s="197"/>
      <c r="B3" s="198"/>
      <c r="C3" s="198"/>
      <c r="D3" s="311" t="s">
        <v>20</v>
      </c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3"/>
    </row>
    <row r="4" spans="1:24" ht="13.5" customHeight="1" thickBot="1" x14ac:dyDescent="0.3">
      <c r="A4" s="199"/>
      <c r="B4" s="200"/>
      <c r="C4" s="200"/>
      <c r="D4" s="192" t="s">
        <v>269</v>
      </c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4"/>
    </row>
    <row r="5" spans="1:24" ht="13.5" customHeight="1" x14ac:dyDescent="0.25">
      <c r="A5" s="201" t="s">
        <v>0</v>
      </c>
      <c r="B5" s="202"/>
      <c r="C5" s="202"/>
      <c r="D5" s="202"/>
      <c r="E5" s="202"/>
      <c r="F5" s="202" t="str">
        <f>'SET SP Paicol'!J5</f>
        <v>GESTIÓN DE SERVICIOS PÚBLICOS - PAICOL</v>
      </c>
      <c r="G5" s="202"/>
      <c r="H5" s="202"/>
      <c r="I5" s="202"/>
      <c r="J5" s="202"/>
      <c r="K5" s="202"/>
      <c r="L5" s="202"/>
      <c r="M5" s="202"/>
      <c r="N5" s="202"/>
      <c r="O5" s="203"/>
    </row>
    <row r="6" spans="1:24" ht="15.75" customHeight="1" x14ac:dyDescent="0.25">
      <c r="A6" s="204" t="s">
        <v>1</v>
      </c>
      <c r="B6" s="205"/>
      <c r="C6" s="205"/>
      <c r="D6" s="205"/>
      <c r="E6" s="205"/>
      <c r="F6" s="206" t="str">
        <f>'SET SP Paicol'!$B21</f>
        <v>Disposición en Relleno Sanitario</v>
      </c>
      <c r="G6" s="206"/>
      <c r="H6" s="206"/>
      <c r="I6" s="206"/>
      <c r="J6" s="206"/>
      <c r="K6" s="206"/>
      <c r="L6" s="206"/>
      <c r="M6" s="206"/>
      <c r="N6" s="206"/>
      <c r="O6" s="272"/>
    </row>
    <row r="7" spans="1:24" ht="15.75" customHeight="1" x14ac:dyDescent="0.25">
      <c r="A7" s="204" t="s">
        <v>55</v>
      </c>
      <c r="B7" s="205"/>
      <c r="C7" s="205"/>
      <c r="D7" s="205"/>
      <c r="E7" s="205"/>
      <c r="F7" s="223" t="str">
        <f>'SET SP Paicol'!F21</f>
        <v xml:space="preserve">Eficiencia </v>
      </c>
      <c r="G7" s="224"/>
      <c r="H7" s="224"/>
      <c r="I7" s="224"/>
      <c r="J7" s="224"/>
      <c r="K7" s="224"/>
      <c r="L7" s="224"/>
      <c r="M7" s="224"/>
      <c r="N7" s="224"/>
      <c r="O7" s="225"/>
    </row>
    <row r="8" spans="1:24" ht="17.25" customHeight="1" thickBot="1" x14ac:dyDescent="0.3">
      <c r="A8" s="209" t="s">
        <v>21</v>
      </c>
      <c r="B8" s="210"/>
      <c r="C8" s="210"/>
      <c r="D8" s="210"/>
      <c r="E8" s="210"/>
      <c r="F8" s="23" t="s">
        <v>93</v>
      </c>
      <c r="G8" s="211" t="str">
        <f>'SET SP Paicol'!A21</f>
        <v>IN14</v>
      </c>
      <c r="H8" s="211"/>
      <c r="I8" s="211"/>
      <c r="J8" s="211"/>
      <c r="K8" s="211"/>
      <c r="L8" s="211"/>
      <c r="M8" s="211"/>
      <c r="N8" s="211"/>
      <c r="O8" s="276"/>
    </row>
    <row r="9" spans="1:24" ht="12.75" customHeight="1" x14ac:dyDescent="0.25">
      <c r="A9" s="214" t="s">
        <v>22</v>
      </c>
      <c r="B9" s="215"/>
      <c r="C9" s="215"/>
      <c r="D9" s="215"/>
      <c r="E9" s="218" t="s">
        <v>23</v>
      </c>
      <c r="F9" s="218" t="s">
        <v>24</v>
      </c>
      <c r="G9" s="218"/>
      <c r="H9" s="218" t="s">
        <v>25</v>
      </c>
      <c r="I9" s="218" t="s">
        <v>26</v>
      </c>
      <c r="J9" s="218" t="s">
        <v>27</v>
      </c>
      <c r="K9" s="218"/>
      <c r="L9" s="220" t="s">
        <v>28</v>
      </c>
      <c r="M9" s="220"/>
      <c r="N9" s="220"/>
      <c r="O9" s="221"/>
    </row>
    <row r="10" spans="1:24" ht="46.5" customHeight="1" x14ac:dyDescent="0.25">
      <c r="A10" s="216"/>
      <c r="B10" s="217"/>
      <c r="C10" s="217"/>
      <c r="D10" s="217"/>
      <c r="E10" s="219"/>
      <c r="F10" s="219"/>
      <c r="G10" s="219"/>
      <c r="H10" s="219"/>
      <c r="I10" s="219"/>
      <c r="J10" s="219"/>
      <c r="K10" s="219"/>
      <c r="L10" s="217" t="s">
        <v>29</v>
      </c>
      <c r="M10" s="217"/>
      <c r="N10" s="217" t="s">
        <v>30</v>
      </c>
      <c r="O10" s="222"/>
    </row>
    <row r="11" spans="1:24" ht="57.75" customHeight="1" thickBot="1" x14ac:dyDescent="0.3">
      <c r="A11" s="226" t="str">
        <f>'SET SP Paicol'!$C21</f>
        <v>Disponer la totalidad de los residuos solidos recolectados en el sitio de disposición final.</v>
      </c>
      <c r="B11" s="227"/>
      <c r="C11" s="227"/>
      <c r="D11" s="227"/>
      <c r="E11" s="14" t="s">
        <v>35</v>
      </c>
      <c r="F11" s="295" t="str">
        <f>'SET SP Paicol'!$D21</f>
        <v>(Residuos sólidos en relleno sanitario / Residuos sólidos producidos)     x 100    %</v>
      </c>
      <c r="G11" s="297"/>
      <c r="H11" s="12">
        <f>$O18</f>
        <v>1</v>
      </c>
      <c r="I11" s="13" t="str">
        <f>'SET SP Paicol'!$E21</f>
        <v>Trimestral</v>
      </c>
      <c r="J11" s="228" t="s">
        <v>88</v>
      </c>
      <c r="K11" s="229"/>
      <c r="L11" s="229"/>
      <c r="M11" s="229"/>
      <c r="N11" s="229"/>
      <c r="O11" s="230"/>
    </row>
    <row r="12" spans="1:24" ht="13.5" customHeight="1" x14ac:dyDescent="0.25">
      <c r="A12" s="236" t="s">
        <v>38</v>
      </c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8"/>
    </row>
    <row r="13" spans="1:24" ht="21.75" customHeight="1" thickBot="1" x14ac:dyDescent="0.3">
      <c r="A13" s="239"/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1"/>
    </row>
    <row r="14" spans="1:24" ht="15" customHeight="1" thickBot="1" x14ac:dyDescent="0.3">
      <c r="A14" s="288" t="s">
        <v>31</v>
      </c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  <c r="N14" s="289"/>
      <c r="O14" s="290"/>
      <c r="V14" s="7"/>
      <c r="W14" s="6"/>
      <c r="X14" s="6"/>
    </row>
    <row r="15" spans="1:24" ht="16.5" customHeight="1" x14ac:dyDescent="0.25">
      <c r="A15" s="245" t="s">
        <v>267</v>
      </c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7"/>
      <c r="V15" s="7"/>
      <c r="W15" s="8"/>
      <c r="X15" s="8"/>
    </row>
    <row r="16" spans="1:24" ht="16.5" customHeight="1" x14ac:dyDescent="0.25">
      <c r="A16" s="248" t="s">
        <v>32</v>
      </c>
      <c r="B16" s="249"/>
      <c r="C16" s="66" t="s">
        <v>8</v>
      </c>
      <c r="D16" s="66" t="s">
        <v>9</v>
      </c>
      <c r="E16" s="66" t="s">
        <v>10</v>
      </c>
      <c r="F16" s="66" t="s">
        <v>11</v>
      </c>
      <c r="G16" s="66" t="s">
        <v>12</v>
      </c>
      <c r="H16" s="66" t="s">
        <v>13</v>
      </c>
      <c r="I16" s="66" t="s">
        <v>14</v>
      </c>
      <c r="J16" s="66" t="s">
        <v>15</v>
      </c>
      <c r="K16" s="66" t="s">
        <v>16</v>
      </c>
      <c r="L16" s="66" t="s">
        <v>17</v>
      </c>
      <c r="M16" s="66" t="s">
        <v>18</v>
      </c>
      <c r="N16" s="66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57" t="s">
        <v>39</v>
      </c>
      <c r="B17" s="258"/>
      <c r="C17" s="109">
        <f t="shared" ref="C17:N17" si="0">$O$17</f>
        <v>0.98</v>
      </c>
      <c r="D17" s="109">
        <f t="shared" si="0"/>
        <v>0.98</v>
      </c>
      <c r="E17" s="109">
        <f t="shared" si="0"/>
        <v>0.98</v>
      </c>
      <c r="F17" s="109">
        <f t="shared" si="0"/>
        <v>0.98</v>
      </c>
      <c r="G17" s="109">
        <f t="shared" si="0"/>
        <v>0.98</v>
      </c>
      <c r="H17" s="109">
        <f t="shared" si="0"/>
        <v>0.98</v>
      </c>
      <c r="I17" s="109">
        <f t="shared" si="0"/>
        <v>0.98</v>
      </c>
      <c r="J17" s="109">
        <f t="shared" si="0"/>
        <v>0.98</v>
      </c>
      <c r="K17" s="109">
        <f t="shared" si="0"/>
        <v>0.98</v>
      </c>
      <c r="L17" s="109">
        <f t="shared" si="0"/>
        <v>0.98</v>
      </c>
      <c r="M17" s="109">
        <f t="shared" si="0"/>
        <v>0.98</v>
      </c>
      <c r="N17" s="109">
        <f t="shared" si="0"/>
        <v>0.98</v>
      </c>
      <c r="O17" s="113">
        <f>'SET SP Paicol'!J21</f>
        <v>0.98</v>
      </c>
      <c r="V17" s="7"/>
      <c r="W17" s="8"/>
      <c r="X17" s="8"/>
    </row>
    <row r="18" spans="1:24" ht="17.25" customHeight="1" x14ac:dyDescent="0.25">
      <c r="A18" s="257" t="s">
        <v>268</v>
      </c>
      <c r="B18" s="258"/>
      <c r="C18" s="109">
        <f t="shared" ref="C18:N18" si="1">$O$18</f>
        <v>1</v>
      </c>
      <c r="D18" s="109">
        <f t="shared" si="1"/>
        <v>1</v>
      </c>
      <c r="E18" s="109">
        <f t="shared" si="1"/>
        <v>1</v>
      </c>
      <c r="F18" s="109">
        <f t="shared" si="1"/>
        <v>1</v>
      </c>
      <c r="G18" s="109">
        <f t="shared" si="1"/>
        <v>1</v>
      </c>
      <c r="H18" s="109">
        <f t="shared" si="1"/>
        <v>1</v>
      </c>
      <c r="I18" s="109">
        <f t="shared" si="1"/>
        <v>1</v>
      </c>
      <c r="J18" s="109">
        <f t="shared" si="1"/>
        <v>1</v>
      </c>
      <c r="K18" s="109">
        <f t="shared" si="1"/>
        <v>1</v>
      </c>
      <c r="L18" s="109">
        <f t="shared" si="1"/>
        <v>1</v>
      </c>
      <c r="M18" s="109">
        <f t="shared" si="1"/>
        <v>1</v>
      </c>
      <c r="N18" s="109">
        <f t="shared" si="1"/>
        <v>1</v>
      </c>
      <c r="O18" s="113">
        <f>'SET SP Paicol'!K21</f>
        <v>1</v>
      </c>
      <c r="V18" s="7"/>
      <c r="W18" s="8"/>
      <c r="X18" s="8"/>
    </row>
    <row r="19" spans="1:24" ht="17.25" customHeight="1" x14ac:dyDescent="0.2">
      <c r="A19" s="261" t="s">
        <v>263</v>
      </c>
      <c r="B19" s="262"/>
      <c r="C19" s="59" t="str">
        <f>IF(ISNUMBER(C21),C20/C21,"-")</f>
        <v>-</v>
      </c>
      <c r="D19" s="59" t="str">
        <f t="shared" ref="D19:O19" si="2">IF(ISNUMBER(D21),D20/D21,"-")</f>
        <v>-</v>
      </c>
      <c r="E19" s="59" t="str">
        <f t="shared" si="2"/>
        <v>-</v>
      </c>
      <c r="F19" s="59" t="str">
        <f t="shared" si="2"/>
        <v>-</v>
      </c>
      <c r="G19" s="59" t="str">
        <f t="shared" si="2"/>
        <v>-</v>
      </c>
      <c r="H19" s="59" t="str">
        <f t="shared" si="2"/>
        <v>-</v>
      </c>
      <c r="I19" s="59" t="str">
        <f t="shared" si="2"/>
        <v>-</v>
      </c>
      <c r="J19" s="59" t="str">
        <f t="shared" si="2"/>
        <v>-</v>
      </c>
      <c r="K19" s="59" t="str">
        <f t="shared" si="2"/>
        <v>-</v>
      </c>
      <c r="L19" s="59" t="str">
        <f t="shared" si="2"/>
        <v>-</v>
      </c>
      <c r="M19" s="59" t="str">
        <f t="shared" si="2"/>
        <v>-</v>
      </c>
      <c r="N19" s="59">
        <f t="shared" si="2"/>
        <v>0.9511343804537522</v>
      </c>
      <c r="O19" s="61" t="str">
        <f t="shared" si="2"/>
        <v>-</v>
      </c>
      <c r="V19" s="7"/>
      <c r="W19" s="8"/>
      <c r="X19" s="8"/>
    </row>
    <row r="20" spans="1:24" ht="15" customHeight="1" x14ac:dyDescent="0.25">
      <c r="A20" s="263" t="s">
        <v>37</v>
      </c>
      <c r="B20" s="31" t="s">
        <v>145</v>
      </c>
      <c r="C20" s="64">
        <f>+'07'!C20</f>
        <v>70.08</v>
      </c>
      <c r="D20" s="64">
        <f>+'07'!D20</f>
        <v>51.26</v>
      </c>
      <c r="E20" s="64">
        <f>+'07'!E20</f>
        <v>0</v>
      </c>
      <c r="F20" s="64">
        <f>+'07'!F20</f>
        <v>0</v>
      </c>
      <c r="G20" s="64">
        <f>+'07'!G20</f>
        <v>0</v>
      </c>
      <c r="H20" s="64">
        <f>+'07'!H20</f>
        <v>0</v>
      </c>
      <c r="I20" s="64">
        <f>+'07'!I20</f>
        <v>0</v>
      </c>
      <c r="J20" s="64">
        <f>+'07'!J20</f>
        <v>0</v>
      </c>
      <c r="K20" s="64">
        <f>+'07'!K20</f>
        <v>0</v>
      </c>
      <c r="L20" s="64">
        <f>+'07'!L20</f>
        <v>0</v>
      </c>
      <c r="M20" s="64">
        <f>+'07'!M20</f>
        <v>0</v>
      </c>
      <c r="N20" s="64">
        <f>+'07'!N20</f>
        <v>58.48</v>
      </c>
      <c r="O20" s="63">
        <f>SUM(C20:N20)</f>
        <v>179.82</v>
      </c>
      <c r="V20" s="7"/>
      <c r="W20" s="8"/>
      <c r="X20" s="8"/>
    </row>
    <row r="21" spans="1:24" ht="12.75" customHeight="1" x14ac:dyDescent="0.25">
      <c r="A21" s="263"/>
      <c r="B21" s="31" t="s">
        <v>139</v>
      </c>
      <c r="C21" s="64" t="e">
        <f>+'07'!C21</f>
        <v>#VALUE!</v>
      </c>
      <c r="D21" s="64" t="e">
        <f>+'07'!D21</f>
        <v>#VALUE!</v>
      </c>
      <c r="E21" s="64" t="e">
        <f>+'07'!E21</f>
        <v>#VALUE!</v>
      </c>
      <c r="F21" s="64" t="e">
        <f>+'07'!F21</f>
        <v>#VALUE!</v>
      </c>
      <c r="G21" s="64" t="e">
        <f>+'07'!G21</f>
        <v>#VALUE!</v>
      </c>
      <c r="H21" s="64" t="e">
        <f>+'07'!H21</f>
        <v>#VALUE!</v>
      </c>
      <c r="I21" s="64" t="e">
        <f>+'07'!I21</f>
        <v>#VALUE!</v>
      </c>
      <c r="J21" s="64" t="e">
        <f>+'07'!J21</f>
        <v>#VALUE!</v>
      </c>
      <c r="K21" s="64" t="e">
        <f>+'07'!K21</f>
        <v>#VALUE!</v>
      </c>
      <c r="L21" s="64" t="e">
        <f>+'07'!L21</f>
        <v>#VALUE!</v>
      </c>
      <c r="M21" s="64" t="e">
        <f>+'07'!M21</f>
        <v>#VALUE!</v>
      </c>
      <c r="N21" s="64">
        <f>+'07'!N21</f>
        <v>61.484477064220179</v>
      </c>
      <c r="O21" s="63" t="e">
        <f>SUM(C21:N21)</f>
        <v>#VALUE!</v>
      </c>
      <c r="V21" s="7"/>
      <c r="W21" s="8"/>
      <c r="X21" s="8"/>
    </row>
    <row r="22" spans="1:24" ht="12.75" customHeight="1" x14ac:dyDescent="0.25">
      <c r="A22" s="263"/>
      <c r="B22" s="65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/>
      <c r="V22" s="7"/>
      <c r="W22" s="8"/>
      <c r="X22" s="8"/>
    </row>
    <row r="23" spans="1:24" ht="13.5" customHeight="1" thickBot="1" x14ac:dyDescent="0.3">
      <c r="A23" s="264"/>
      <c r="B23" s="67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65" t="s">
        <v>34</v>
      </c>
      <c r="B24" s="266"/>
      <c r="C24" s="267"/>
      <c r="D24" s="254" t="str">
        <f>'SET SP Paicol'!$G21</f>
        <v>Entre 91% y 100%</v>
      </c>
      <c r="E24" s="255"/>
      <c r="F24" s="255"/>
      <c r="G24" s="256"/>
      <c r="H24" s="254" t="str">
        <f>'SET SP Paicol'!$H21</f>
        <v>Entre 71% y 90%</v>
      </c>
      <c r="I24" s="255"/>
      <c r="J24" s="255"/>
      <c r="K24" s="256"/>
      <c r="L24" s="254" t="str">
        <f>'SET SP Paicol'!$I21</f>
        <v>Menor al 70%</v>
      </c>
      <c r="M24" s="259"/>
      <c r="N24" s="259"/>
      <c r="O24" s="260"/>
      <c r="V24" s="7"/>
      <c r="W24" s="8"/>
      <c r="X24" s="8"/>
    </row>
    <row r="25" spans="1:24" ht="33" customHeight="1" thickBot="1" x14ac:dyDescent="0.3">
      <c r="A25" s="268"/>
      <c r="B25" s="269"/>
      <c r="C25" s="269"/>
      <c r="D25" s="270" t="s">
        <v>7</v>
      </c>
      <c r="E25" s="270"/>
      <c r="F25" s="270"/>
      <c r="G25" s="270"/>
      <c r="H25" s="271" t="s">
        <v>61</v>
      </c>
      <c r="I25" s="271"/>
      <c r="J25" s="271"/>
      <c r="K25" s="271"/>
      <c r="L25" s="231" t="s">
        <v>62</v>
      </c>
      <c r="M25" s="231"/>
      <c r="N25" s="231"/>
      <c r="O25" s="232"/>
      <c r="V25" s="7"/>
      <c r="W25" s="8"/>
      <c r="X25" s="8"/>
    </row>
    <row r="26" spans="1:24" ht="15.75" customHeight="1" thickBot="1" x14ac:dyDescent="0.3">
      <c r="A26" s="233" t="s">
        <v>36</v>
      </c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5"/>
      <c r="V26" s="7"/>
      <c r="W26" s="8"/>
      <c r="X26" s="8"/>
    </row>
    <row r="27" spans="1:24" ht="264.75" customHeight="1" thickBot="1" x14ac:dyDescent="0.3">
      <c r="A27" s="251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3"/>
      <c r="V27" s="7"/>
    </row>
    <row r="28" spans="1:24" ht="15" customHeight="1" x14ac:dyDescent="0.25">
      <c r="A28" s="188" t="s">
        <v>58</v>
      </c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90" t="s">
        <v>60</v>
      </c>
      <c r="O28" s="191"/>
    </row>
    <row r="29" spans="1:24" ht="18.75" customHeight="1" x14ac:dyDescent="0.25">
      <c r="A29" s="182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6">
        <v>45658</v>
      </c>
      <c r="O29" s="187"/>
    </row>
    <row r="30" spans="1:24" ht="19.5" customHeight="1" x14ac:dyDescent="0.25">
      <c r="A30" s="182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6">
        <v>45689</v>
      </c>
      <c r="O30" s="187"/>
    </row>
    <row r="31" spans="1:24" ht="20.25" customHeight="1" x14ac:dyDescent="0.25">
      <c r="A31" s="182"/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6">
        <v>45717</v>
      </c>
      <c r="O31" s="187"/>
    </row>
    <row r="32" spans="1:24" ht="20.25" customHeight="1" x14ac:dyDescent="0.25">
      <c r="A32" s="182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6">
        <v>45748</v>
      </c>
      <c r="O32" s="187"/>
    </row>
    <row r="33" spans="1:17" ht="19.5" customHeight="1" x14ac:dyDescent="0.25">
      <c r="A33" s="182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6">
        <v>45778</v>
      </c>
      <c r="O33" s="187"/>
    </row>
    <row r="34" spans="1:17" ht="21" customHeight="1" x14ac:dyDescent="0.25">
      <c r="A34" s="182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6">
        <v>45809</v>
      </c>
      <c r="O34" s="187"/>
    </row>
    <row r="35" spans="1:17" ht="19.5" customHeight="1" x14ac:dyDescent="0.25">
      <c r="A35" s="182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6">
        <v>45839</v>
      </c>
      <c r="O35" s="187"/>
    </row>
    <row r="36" spans="1:17" ht="15" customHeight="1" x14ac:dyDescent="0.25">
      <c r="A36" s="182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6">
        <v>45870</v>
      </c>
      <c r="O36" s="187"/>
    </row>
    <row r="37" spans="1:17" ht="15" customHeight="1" x14ac:dyDescent="0.25">
      <c r="A37" s="182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6">
        <v>45901</v>
      </c>
      <c r="O37" s="187"/>
    </row>
    <row r="38" spans="1:17" ht="15" customHeight="1" x14ac:dyDescent="0.25">
      <c r="A38" s="182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6">
        <v>45931</v>
      </c>
      <c r="O38" s="187"/>
    </row>
    <row r="39" spans="1:17" ht="15" customHeight="1" x14ac:dyDescent="0.25">
      <c r="A39" s="182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6">
        <v>45962</v>
      </c>
      <c r="O39" s="187"/>
    </row>
    <row r="40" spans="1:17" ht="15" customHeight="1" thickBot="1" x14ac:dyDescent="0.3">
      <c r="A40" s="182"/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6">
        <v>45992</v>
      </c>
      <c r="O40" s="187"/>
    </row>
    <row r="41" spans="1:17" ht="19.5" customHeight="1" x14ac:dyDescent="0.25">
      <c r="A41" s="188" t="s">
        <v>59</v>
      </c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90" t="s">
        <v>60</v>
      </c>
      <c r="O41" s="191"/>
    </row>
    <row r="42" spans="1:17" ht="15" x14ac:dyDescent="0.25">
      <c r="A42" s="182"/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4"/>
      <c r="O42" s="185"/>
    </row>
    <row r="43" spans="1:17" ht="15" x14ac:dyDescent="0.25">
      <c r="A43" s="182"/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4"/>
      <c r="O43" s="185"/>
    </row>
    <row r="44" spans="1:17" ht="15.75" thickBot="1" x14ac:dyDescent="0.3">
      <c r="A44" s="182"/>
      <c r="B44" s="183"/>
      <c r="C44" s="183"/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4"/>
      <c r="O44" s="185"/>
    </row>
    <row r="45" spans="1:17" ht="5.25" customHeight="1" x14ac:dyDescent="0.25">
      <c r="A45" s="250"/>
      <c r="B45" s="250"/>
      <c r="C45" s="250"/>
      <c r="D45" s="250"/>
      <c r="E45" s="250"/>
      <c r="F45" s="250"/>
      <c r="G45" s="250"/>
      <c r="H45" s="250"/>
      <c r="I45" s="250"/>
      <c r="J45" s="250"/>
      <c r="K45" s="250"/>
      <c r="L45" s="250"/>
      <c r="M45" s="250"/>
      <c r="N45" s="250"/>
      <c r="O45" s="250"/>
    </row>
    <row r="47" spans="1:17" ht="14.25" x14ac:dyDescent="0.2">
      <c r="Q47" s="40" t="s">
        <v>80</v>
      </c>
    </row>
    <row r="48" spans="1:17" ht="14.25" x14ac:dyDescent="0.2">
      <c r="Q48" s="40" t="s">
        <v>81</v>
      </c>
    </row>
    <row r="49" spans="17:17" ht="14.25" x14ac:dyDescent="0.2">
      <c r="Q49" s="40" t="s">
        <v>82</v>
      </c>
    </row>
    <row r="50" spans="17:17" ht="14.25" x14ac:dyDescent="0.2">
      <c r="Q50" s="40" t="s">
        <v>83</v>
      </c>
    </row>
    <row r="51" spans="17:17" ht="14.25" x14ac:dyDescent="0.2">
      <c r="Q51" s="40" t="s">
        <v>84</v>
      </c>
    </row>
    <row r="52" spans="17:17" ht="14.25" x14ac:dyDescent="0.2">
      <c r="Q52" s="40" t="s">
        <v>85</v>
      </c>
    </row>
    <row r="53" spans="17:17" ht="14.25" x14ac:dyDescent="0.2">
      <c r="Q53" s="40" t="s">
        <v>86</v>
      </c>
    </row>
    <row r="54" spans="17:17" ht="14.25" x14ac:dyDescent="0.2">
      <c r="Q54" s="40" t="s">
        <v>87</v>
      </c>
    </row>
    <row r="55" spans="17:17" ht="14.25" x14ac:dyDescent="0.2">
      <c r="Q55" s="40" t="s">
        <v>88</v>
      </c>
    </row>
    <row r="56" spans="17:17" ht="14.25" x14ac:dyDescent="0.2">
      <c r="Q56" s="40" t="s">
        <v>89</v>
      </c>
    </row>
    <row r="57" spans="17:17" ht="14.25" x14ac:dyDescent="0.2">
      <c r="Q57" s="40" t="s">
        <v>90</v>
      </c>
    </row>
    <row r="58" spans="17:17" ht="14.25" x14ac:dyDescent="0.2">
      <c r="Q58" s="40" t="s">
        <v>91</v>
      </c>
    </row>
    <row r="59" spans="17:17" ht="14.25" x14ac:dyDescent="0.2">
      <c r="Q59" s="40" t="s">
        <v>92</v>
      </c>
    </row>
    <row r="61" spans="17:17" x14ac:dyDescent="0.25">
      <c r="Q61" s="9">
        <v>0.98</v>
      </c>
    </row>
    <row r="62" spans="17:17" x14ac:dyDescent="0.25">
      <c r="Q62" s="9">
        <v>1</v>
      </c>
    </row>
  </sheetData>
  <mergeCells count="78">
    <mergeCell ref="A6:E6"/>
    <mergeCell ref="F6:O6"/>
    <mergeCell ref="A1:C4"/>
    <mergeCell ref="D1:O1"/>
    <mergeCell ref="D4:O4"/>
    <mergeCell ref="A5:E5"/>
    <mergeCell ref="F5:O5"/>
    <mergeCell ref="D2:O2"/>
    <mergeCell ref="D3:O3"/>
    <mergeCell ref="A7:E7"/>
    <mergeCell ref="F7:O7"/>
    <mergeCell ref="A8:E8"/>
    <mergeCell ref="G8:O8"/>
    <mergeCell ref="A9:D10"/>
    <mergeCell ref="E9:E10"/>
    <mergeCell ref="F9:G10"/>
    <mergeCell ref="H9:H10"/>
    <mergeCell ref="I9:I10"/>
    <mergeCell ref="J9:K10"/>
    <mergeCell ref="A17:B17"/>
    <mergeCell ref="L9:O9"/>
    <mergeCell ref="L10:M10"/>
    <mergeCell ref="N10:O10"/>
    <mergeCell ref="A11:D11"/>
    <mergeCell ref="F11:G11"/>
    <mergeCell ref="J11:O11"/>
    <mergeCell ref="A12:O12"/>
    <mergeCell ref="A13:O13"/>
    <mergeCell ref="A14:O14"/>
    <mergeCell ref="A15:O15"/>
    <mergeCell ref="A16:B16"/>
    <mergeCell ref="A27:O27"/>
    <mergeCell ref="A18:B18"/>
    <mergeCell ref="A19:B19"/>
    <mergeCell ref="A20:A23"/>
    <mergeCell ref="A24:C25"/>
    <mergeCell ref="D24:G24"/>
    <mergeCell ref="H24:K24"/>
    <mergeCell ref="L24:O24"/>
    <mergeCell ref="D25:G25"/>
    <mergeCell ref="H25:K25"/>
    <mergeCell ref="L25:O25"/>
    <mergeCell ref="A26:O26"/>
    <mergeCell ref="A31:M31"/>
    <mergeCell ref="N31:O31"/>
    <mergeCell ref="A32:M32"/>
    <mergeCell ref="N32:O32"/>
    <mergeCell ref="A33:M33"/>
    <mergeCell ref="N33:O33"/>
    <mergeCell ref="A28:M28"/>
    <mergeCell ref="N28:O28"/>
    <mergeCell ref="A29:M29"/>
    <mergeCell ref="N29:O29"/>
    <mergeCell ref="A30:M30"/>
    <mergeCell ref="N30:O30"/>
    <mergeCell ref="A45:O45"/>
    <mergeCell ref="A41:M41"/>
    <mergeCell ref="N41:O41"/>
    <mergeCell ref="A42:M42"/>
    <mergeCell ref="N42:O42"/>
    <mergeCell ref="A43:M43"/>
    <mergeCell ref="N43:O43"/>
    <mergeCell ref="A44:M44"/>
    <mergeCell ref="N44:O44"/>
    <mergeCell ref="A34:M34"/>
    <mergeCell ref="N34:O34"/>
    <mergeCell ref="A35:M35"/>
    <mergeCell ref="N35:O35"/>
    <mergeCell ref="A36:M36"/>
    <mergeCell ref="N36:O36"/>
    <mergeCell ref="A40:M40"/>
    <mergeCell ref="N40:O40"/>
    <mergeCell ref="A37:M37"/>
    <mergeCell ref="N37:O37"/>
    <mergeCell ref="A38:M38"/>
    <mergeCell ref="N38:O38"/>
    <mergeCell ref="A39:M39"/>
    <mergeCell ref="N39:O39"/>
  </mergeCells>
  <dataValidations disablePrompts="1" count="1">
    <dataValidation type="list" allowBlank="1" showInputMessage="1" showErrorMessage="1" sqref="J11:O11" xr:uid="{00000000-0002-0000-0E00-000000000000}">
      <formula1>$Q$47:$Q$59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R171"/>
  <sheetViews>
    <sheetView showGridLines="0" workbookViewId="0">
      <selection activeCell="D41" sqref="D41"/>
    </sheetView>
  </sheetViews>
  <sheetFormatPr baseColWidth="10" defaultColWidth="11.42578125" defaultRowHeight="12.75" x14ac:dyDescent="0.2"/>
  <cols>
    <col min="1" max="1" width="3" style="69" bestFit="1" customWidth="1"/>
    <col min="2" max="2" width="40.85546875" style="69" bestFit="1" customWidth="1"/>
    <col min="3" max="3" width="11.140625" style="69" bestFit="1" customWidth="1"/>
    <col min="4" max="4" width="15.7109375" style="56" customWidth="1"/>
    <col min="5" max="15" width="11.28515625" style="56" customWidth="1"/>
    <col min="16" max="16" width="12.28515625" style="56" bestFit="1" customWidth="1"/>
    <col min="17" max="16384" width="11.42578125" style="56"/>
  </cols>
  <sheetData>
    <row r="1" spans="1:18" x14ac:dyDescent="0.2">
      <c r="A1" s="151" t="s">
        <v>181</v>
      </c>
      <c r="B1" s="151"/>
      <c r="C1" s="151"/>
      <c r="D1" s="151"/>
      <c r="E1" s="151"/>
      <c r="F1" s="151"/>
      <c r="G1" s="151"/>
    </row>
    <row r="2" spans="1:18" ht="20.25" x14ac:dyDescent="0.3">
      <c r="A2" s="152" t="s">
        <v>182</v>
      </c>
      <c r="B2" s="153"/>
      <c r="C2" s="68"/>
      <c r="D2" s="70"/>
      <c r="E2" s="151" t="s">
        <v>252</v>
      </c>
      <c r="F2" s="157"/>
      <c r="G2" s="158" t="s">
        <v>251</v>
      </c>
      <c r="H2" s="158"/>
      <c r="I2" s="158"/>
      <c r="J2" s="158"/>
      <c r="K2" s="158"/>
    </row>
    <row r="4" spans="1:18" ht="21" customHeight="1" x14ac:dyDescent="0.2">
      <c r="A4" s="154" t="s">
        <v>183</v>
      </c>
      <c r="B4" s="155"/>
      <c r="C4" s="71" t="s">
        <v>184</v>
      </c>
      <c r="D4" s="72">
        <v>45658</v>
      </c>
      <c r="E4" s="72">
        <v>45689</v>
      </c>
      <c r="F4" s="72">
        <v>45717</v>
      </c>
      <c r="G4" s="72">
        <v>45748</v>
      </c>
      <c r="H4" s="72">
        <v>45778</v>
      </c>
      <c r="I4" s="72">
        <v>45809</v>
      </c>
      <c r="J4" s="72">
        <v>45839</v>
      </c>
      <c r="K4" s="72">
        <v>45870</v>
      </c>
      <c r="L4" s="72">
        <v>45901</v>
      </c>
      <c r="M4" s="72">
        <v>45931</v>
      </c>
      <c r="N4" s="72">
        <v>45962</v>
      </c>
      <c r="O4" s="72">
        <v>45992</v>
      </c>
      <c r="P4" s="116"/>
    </row>
    <row r="5" spans="1:18" x14ac:dyDescent="0.2">
      <c r="A5" s="74">
        <v>1</v>
      </c>
      <c r="B5" s="75" t="s">
        <v>185</v>
      </c>
      <c r="C5" s="76" t="s">
        <v>185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>
        <v>1146</v>
      </c>
      <c r="P5" s="141"/>
      <c r="Q5" s="116"/>
    </row>
    <row r="6" spans="1:18" x14ac:dyDescent="0.2">
      <c r="A6" s="78">
        <v>2</v>
      </c>
      <c r="B6" s="79" t="s">
        <v>186</v>
      </c>
      <c r="C6" s="80" t="s">
        <v>187</v>
      </c>
      <c r="D6" s="126">
        <v>1110</v>
      </c>
      <c r="E6" s="126">
        <v>1109</v>
      </c>
      <c r="F6" s="126">
        <v>1110</v>
      </c>
      <c r="G6" s="81">
        <v>1107</v>
      </c>
      <c r="H6" s="81"/>
      <c r="I6" s="81"/>
      <c r="J6" s="81"/>
      <c r="K6" s="81"/>
      <c r="L6" s="81"/>
      <c r="M6" s="81"/>
      <c r="N6" s="81"/>
      <c r="O6" s="81">
        <v>1125</v>
      </c>
      <c r="P6" s="116"/>
      <c r="Q6" s="116"/>
    </row>
    <row r="7" spans="1:18" x14ac:dyDescent="0.2">
      <c r="A7" s="82">
        <v>3</v>
      </c>
      <c r="B7" s="75" t="s">
        <v>188</v>
      </c>
      <c r="C7" s="76" t="s">
        <v>187</v>
      </c>
      <c r="D7" s="127">
        <v>1090</v>
      </c>
      <c r="E7" s="127">
        <v>1089</v>
      </c>
      <c r="F7" s="127">
        <v>1090</v>
      </c>
      <c r="G7" s="77">
        <v>1087</v>
      </c>
      <c r="H7" s="77"/>
      <c r="I7" s="77"/>
      <c r="J7" s="77"/>
      <c r="K7" s="77"/>
      <c r="L7" s="77"/>
      <c r="M7" s="77"/>
      <c r="N7" s="77"/>
      <c r="O7" s="77">
        <v>1103</v>
      </c>
      <c r="P7" s="116"/>
    </row>
    <row r="8" spans="1:18" x14ac:dyDescent="0.2">
      <c r="A8" s="78">
        <v>4</v>
      </c>
      <c r="B8" s="79" t="s">
        <v>189</v>
      </c>
      <c r="C8" s="80" t="s">
        <v>187</v>
      </c>
      <c r="D8" s="126">
        <v>1092</v>
      </c>
      <c r="E8" s="126">
        <v>1091</v>
      </c>
      <c r="F8" s="126">
        <v>1091</v>
      </c>
      <c r="G8" s="81">
        <v>1088</v>
      </c>
      <c r="H8" s="81"/>
      <c r="I8" s="81"/>
      <c r="J8" s="81"/>
      <c r="K8" s="81"/>
      <c r="L8" s="81"/>
      <c r="M8" s="81"/>
      <c r="N8" s="81"/>
      <c r="O8" s="81">
        <v>1090</v>
      </c>
      <c r="P8" s="116"/>
    </row>
    <row r="9" spans="1:18" ht="15" x14ac:dyDescent="0.25">
      <c r="A9" s="82">
        <v>5</v>
      </c>
      <c r="B9" s="75" t="s">
        <v>190</v>
      </c>
      <c r="C9" s="76" t="s">
        <v>191</v>
      </c>
      <c r="D9" s="127">
        <v>27435</v>
      </c>
      <c r="E9" s="127">
        <v>27240</v>
      </c>
      <c r="F9" s="127">
        <v>28627</v>
      </c>
      <c r="G9" s="77"/>
      <c r="H9" s="142"/>
      <c r="I9" s="140"/>
      <c r="J9" s="115"/>
      <c r="K9" s="115"/>
      <c r="L9" s="115"/>
      <c r="M9" s="115"/>
      <c r="N9" s="123"/>
      <c r="O9" s="123">
        <v>26425</v>
      </c>
      <c r="P9" s="116">
        <f>SUM(D9:O9)</f>
        <v>109727</v>
      </c>
    </row>
    <row r="10" spans="1:18" x14ac:dyDescent="0.2">
      <c r="A10" s="78">
        <v>6</v>
      </c>
      <c r="B10" s="79" t="s">
        <v>192</v>
      </c>
      <c r="C10" s="80" t="s">
        <v>191</v>
      </c>
      <c r="D10" s="126">
        <f>10666+2059</f>
        <v>12725</v>
      </c>
      <c r="E10" s="126">
        <f>16168+2048</f>
        <v>18216</v>
      </c>
      <c r="F10" s="126">
        <f>11785+1680</f>
        <v>13465</v>
      </c>
      <c r="G10" s="81">
        <f>13930+1616</f>
        <v>15546</v>
      </c>
      <c r="H10" s="81"/>
      <c r="I10" s="81"/>
      <c r="J10" s="81"/>
      <c r="K10" s="81"/>
      <c r="L10" s="81"/>
      <c r="M10" s="81"/>
      <c r="N10" s="81"/>
      <c r="O10" s="81">
        <f>10909+2106</f>
        <v>13015</v>
      </c>
      <c r="P10" s="116">
        <f t="shared" ref="P10:P11" si="0">SUM(D10:O10)</f>
        <v>72967</v>
      </c>
      <c r="Q10" s="124"/>
      <c r="R10" s="125"/>
    </row>
    <row r="11" spans="1:18" x14ac:dyDescent="0.2">
      <c r="A11" s="82">
        <v>7</v>
      </c>
      <c r="B11" s="75" t="s">
        <v>264</v>
      </c>
      <c r="C11" s="76" t="s">
        <v>193</v>
      </c>
      <c r="D11" s="127">
        <f>10338+1385+504</f>
        <v>12227</v>
      </c>
      <c r="E11" s="127">
        <f>11967+3711+1704</f>
        <v>17382</v>
      </c>
      <c r="F11" s="127">
        <f>10177+1628+1245</f>
        <v>13050</v>
      </c>
      <c r="G11" s="77">
        <f>11155+2512+1438</f>
        <v>15105</v>
      </c>
      <c r="H11" s="77"/>
      <c r="I11" s="83"/>
      <c r="J11" s="83"/>
      <c r="K11" s="83"/>
      <c r="L11" s="83"/>
      <c r="M11" s="83"/>
      <c r="N11" s="83"/>
      <c r="O11" s="83">
        <f>10330+1451+736</f>
        <v>12517</v>
      </c>
      <c r="P11" s="116">
        <f t="shared" si="0"/>
        <v>70281</v>
      </c>
    </row>
    <row r="12" spans="1:18" hidden="1" x14ac:dyDescent="0.2">
      <c r="A12" s="78">
        <v>8</v>
      </c>
      <c r="B12" s="79" t="s">
        <v>194</v>
      </c>
      <c r="C12" s="80" t="s">
        <v>193</v>
      </c>
      <c r="D12" s="81"/>
      <c r="E12" s="81"/>
      <c r="F12" s="126"/>
      <c r="G12" s="81"/>
      <c r="H12" s="81"/>
      <c r="I12" s="84"/>
      <c r="J12" s="84"/>
      <c r="K12" s="84"/>
      <c r="L12" s="84"/>
      <c r="M12" s="84"/>
      <c r="N12" s="84"/>
      <c r="O12" s="85"/>
    </row>
    <row r="13" spans="1:18" hidden="1" x14ac:dyDescent="0.2">
      <c r="A13" s="82">
        <v>9</v>
      </c>
      <c r="B13" s="75" t="s">
        <v>195</v>
      </c>
      <c r="C13" s="76" t="s">
        <v>193</v>
      </c>
      <c r="D13" s="77"/>
      <c r="E13" s="77"/>
      <c r="F13" s="127"/>
      <c r="G13" s="77"/>
      <c r="H13" s="77"/>
      <c r="I13" s="83"/>
      <c r="J13" s="83"/>
      <c r="K13" s="83"/>
      <c r="L13" s="83"/>
      <c r="M13" s="83"/>
      <c r="N13" s="83"/>
      <c r="O13" s="83"/>
    </row>
    <row r="14" spans="1:18" x14ac:dyDescent="0.2">
      <c r="A14" s="78">
        <v>10</v>
      </c>
      <c r="B14" s="79" t="s">
        <v>196</v>
      </c>
      <c r="C14" s="80" t="s">
        <v>193</v>
      </c>
      <c r="D14" s="126">
        <f>4578981+5741931+171032+185000+31317+17080+39858+68328+312</f>
        <v>10833839</v>
      </c>
      <c r="E14" s="126">
        <f>4575057+9015968+151640+37000+79716+838</f>
        <v>13860219</v>
      </c>
      <c r="F14" s="126">
        <f>4569171+6331410+107893+81818+85400+199290-24293+467</f>
        <v>11351156</v>
      </c>
      <c r="G14" s="81">
        <f>4557399+7428355+112767+778</f>
        <v>12099299</v>
      </c>
      <c r="H14" s="81"/>
      <c r="I14" s="81"/>
      <c r="J14" s="81"/>
      <c r="K14" s="81"/>
      <c r="L14" s="81"/>
      <c r="M14" s="81"/>
      <c r="N14" s="81"/>
      <c r="O14" s="81">
        <f>4573095+5938888+171032+185000+39858+68328+403</f>
        <v>10976604</v>
      </c>
      <c r="P14" s="116">
        <f>SUM(D14:O14)</f>
        <v>59121117</v>
      </c>
    </row>
    <row r="15" spans="1:18" x14ac:dyDescent="0.2">
      <c r="A15" s="82">
        <v>11</v>
      </c>
      <c r="B15" s="75" t="s">
        <v>197</v>
      </c>
      <c r="C15" s="76" t="s">
        <v>193</v>
      </c>
      <c r="D15" s="127">
        <f>3664362+4408702+132374+185000+19929+34164+432</f>
        <v>8444963</v>
      </c>
      <c r="E15" s="127">
        <f>3808896+7734292+139826+37000+79716+855</f>
        <v>11800585</v>
      </c>
      <c r="F15" s="77">
        <f>91300+3631966+4892662+112845+81818+17080+19929+432</f>
        <v>8848032</v>
      </c>
      <c r="G15" s="77"/>
      <c r="H15" s="77"/>
      <c r="I15" s="77"/>
      <c r="J15" s="77"/>
      <c r="K15" s="77"/>
      <c r="L15" s="77"/>
      <c r="M15" s="77"/>
      <c r="N15" s="122"/>
      <c r="O15" s="77">
        <f>3566262+4197865+130185+185000+19929+34164+629</f>
        <v>8134034</v>
      </c>
      <c r="P15" s="116">
        <f t="shared" ref="P15:P19" si="1">SUM(D15:O15)</f>
        <v>37227614</v>
      </c>
    </row>
    <row r="16" spans="1:18" x14ac:dyDescent="0.2">
      <c r="A16" s="78">
        <v>12</v>
      </c>
      <c r="B16" s="79" t="s">
        <v>198</v>
      </c>
      <c r="C16" s="80" t="s">
        <v>193</v>
      </c>
      <c r="D16" s="126">
        <f>3105623+2916526+122500</f>
        <v>6144649</v>
      </c>
      <c r="E16" s="126">
        <f>3102919+4549627+24500</f>
        <v>7677046</v>
      </c>
      <c r="F16" s="126">
        <f>3098864+3265603+54177</f>
        <v>6418644</v>
      </c>
      <c r="G16" s="81">
        <f>3090752+3840713</f>
        <v>6931465</v>
      </c>
      <c r="H16" s="81"/>
      <c r="I16" s="81"/>
      <c r="J16" s="81"/>
      <c r="K16" s="81"/>
      <c r="L16" s="81"/>
      <c r="M16" s="81"/>
      <c r="N16" s="81"/>
      <c r="O16" s="81">
        <f>3101567+3021320+122500</f>
        <v>6245387</v>
      </c>
      <c r="P16" s="116">
        <f t="shared" si="1"/>
        <v>33417191</v>
      </c>
    </row>
    <row r="17" spans="1:16" x14ac:dyDescent="0.2">
      <c r="A17" s="82">
        <v>13</v>
      </c>
      <c r="B17" s="75" t="s">
        <v>199</v>
      </c>
      <c r="C17" s="76" t="s">
        <v>193</v>
      </c>
      <c r="D17" s="127">
        <f>2493415+2310963+122500</f>
        <v>4926878</v>
      </c>
      <c r="E17" s="127">
        <f>2591213+3876124+24500</f>
        <v>6491837</v>
      </c>
      <c r="F17" s="77">
        <f>2469544+2544006+54177</f>
        <v>5067727</v>
      </c>
      <c r="G17" s="77"/>
      <c r="H17" s="77"/>
      <c r="I17" s="77"/>
      <c r="J17" s="77"/>
      <c r="K17" s="77"/>
      <c r="L17" s="77"/>
      <c r="M17" s="77"/>
      <c r="N17" s="77"/>
      <c r="O17" s="77">
        <f>2425825+2198782+122500</f>
        <v>4747107</v>
      </c>
      <c r="P17" s="116">
        <f t="shared" si="1"/>
        <v>21233549</v>
      </c>
    </row>
    <row r="18" spans="1:16" x14ac:dyDescent="0.2">
      <c r="A18" s="78">
        <v>14</v>
      </c>
      <c r="B18" s="79" t="s">
        <v>200</v>
      </c>
      <c r="C18" s="80" t="s">
        <v>193</v>
      </c>
      <c r="D18" s="126">
        <v>9267347</v>
      </c>
      <c r="E18" s="126">
        <v>9252979</v>
      </c>
      <c r="F18" s="126">
        <v>9240626</v>
      </c>
      <c r="G18" s="81">
        <v>9215921</v>
      </c>
      <c r="H18" s="81"/>
      <c r="I18" s="81"/>
      <c r="J18" s="81"/>
      <c r="K18" s="81"/>
      <c r="L18" s="81"/>
      <c r="M18" s="81"/>
      <c r="N18" s="81"/>
      <c r="O18" s="81">
        <v>9254994</v>
      </c>
      <c r="P18" s="116">
        <f t="shared" si="1"/>
        <v>46231867</v>
      </c>
    </row>
    <row r="19" spans="1:16" x14ac:dyDescent="0.2">
      <c r="A19" s="82">
        <v>15</v>
      </c>
      <c r="B19" s="75" t="s">
        <v>201</v>
      </c>
      <c r="C19" s="76" t="s">
        <v>193</v>
      </c>
      <c r="D19" s="127">
        <v>7396225</v>
      </c>
      <c r="E19" s="127">
        <v>7693409</v>
      </c>
      <c r="F19" s="77">
        <v>7348723</v>
      </c>
      <c r="G19" s="77"/>
      <c r="H19" s="77"/>
      <c r="I19" s="77"/>
      <c r="J19" s="77"/>
      <c r="K19" s="77"/>
      <c r="L19" s="77"/>
      <c r="M19" s="77"/>
      <c r="N19" s="77"/>
      <c r="O19" s="77">
        <v>7204075</v>
      </c>
      <c r="P19" s="116">
        <f t="shared" si="1"/>
        <v>29642432</v>
      </c>
    </row>
    <row r="20" spans="1:16" x14ac:dyDescent="0.2">
      <c r="A20" s="78">
        <v>16</v>
      </c>
      <c r="B20" s="79" t="s">
        <v>202</v>
      </c>
      <c r="C20" s="80" t="s">
        <v>193</v>
      </c>
      <c r="D20" s="126">
        <f>1459889+1722085+201501+14000+93951+157703+223536+9350-68950+557</f>
        <v>3813622</v>
      </c>
      <c r="E20" s="126">
        <f>1252571+1664653+182317+14000+31317+17080+137774+257700+9350-266150+219</f>
        <v>3300831</v>
      </c>
      <c r="F20" s="126">
        <f>864749+1292515+163735+14000+77987+189372+9350-156700+45</f>
        <v>2455053</v>
      </c>
      <c r="G20" s="81">
        <f>953366+1143376+177105+14000+68320+237419+189372+9350-533987-24293+238</f>
        <v>2234266</v>
      </c>
      <c r="H20" s="81"/>
      <c r="I20" s="81"/>
      <c r="J20" s="81"/>
      <c r="K20" s="81"/>
      <c r="L20" s="81"/>
      <c r="M20" s="81"/>
      <c r="N20" s="81"/>
      <c r="O20" s="81">
        <f>1459889+1722085+201501+14000+93951+157703+223536+9350-68950+557</f>
        <v>3813622</v>
      </c>
    </row>
    <row r="21" spans="1:16" x14ac:dyDescent="0.2">
      <c r="A21" s="82">
        <v>17</v>
      </c>
      <c r="B21" s="75" t="s">
        <v>203</v>
      </c>
      <c r="C21" s="76" t="s">
        <v>193</v>
      </c>
      <c r="D21" s="127">
        <f>1145481+1406920+44254+93951+39858-24600+711</f>
        <v>2706575</v>
      </c>
      <c r="E21" s="127">
        <f>1153983+1630153+30813+31317+17080+59787+68328-151150+239</f>
        <v>2840550</v>
      </c>
      <c r="F21" s="77">
        <f>819566+1558476+504+19013-129550-20</f>
        <v>2267989</v>
      </c>
      <c r="G21" s="77"/>
      <c r="H21" s="77"/>
      <c r="I21" s="77"/>
      <c r="J21" s="77"/>
      <c r="K21" s="77"/>
      <c r="L21" s="77"/>
      <c r="M21" s="77"/>
      <c r="N21" s="122"/>
      <c r="O21" s="77">
        <f>1138941+1353385+34009+93951+39858-24600+701</f>
        <v>2636245</v>
      </c>
      <c r="P21" s="116"/>
    </row>
    <row r="22" spans="1:16" x14ac:dyDescent="0.2">
      <c r="A22" s="78">
        <v>18</v>
      </c>
      <c r="B22" s="79" t="s">
        <v>204</v>
      </c>
      <c r="C22" s="80" t="s">
        <v>193</v>
      </c>
      <c r="D22" s="126">
        <f>960883+874918</f>
        <v>1835801</v>
      </c>
      <c r="E22" s="126">
        <f>811277+748424</f>
        <v>1559701</v>
      </c>
      <c r="F22" s="126">
        <f>545838+662391</f>
        <v>1208229</v>
      </c>
      <c r="G22" s="81">
        <f>600144+539116</f>
        <v>1139260</v>
      </c>
      <c r="H22" s="81"/>
      <c r="I22" s="81"/>
      <c r="J22" s="81"/>
      <c r="K22" s="81"/>
      <c r="L22" s="81"/>
      <c r="M22" s="81"/>
      <c r="N22" s="81"/>
      <c r="O22" s="81">
        <f>960883+874918</f>
        <v>1835801</v>
      </c>
    </row>
    <row r="23" spans="1:16" x14ac:dyDescent="0.2">
      <c r="A23" s="82">
        <v>19</v>
      </c>
      <c r="B23" s="75" t="s">
        <v>205</v>
      </c>
      <c r="C23" s="76" t="s">
        <v>193</v>
      </c>
      <c r="D23" s="127">
        <f>778036+740707</f>
        <v>1518743</v>
      </c>
      <c r="E23" s="127">
        <f>777145+746947</f>
        <v>1524092</v>
      </c>
      <c r="F23" s="77">
        <f>568707+829222</f>
        <v>1397929</v>
      </c>
      <c r="G23" s="77"/>
      <c r="H23" s="77"/>
      <c r="I23" s="77"/>
      <c r="J23" s="77"/>
      <c r="K23" s="77"/>
      <c r="L23" s="77"/>
      <c r="M23" s="77"/>
      <c r="N23" s="77"/>
      <c r="O23" s="77">
        <f>773530+712223</f>
        <v>1485753</v>
      </c>
    </row>
    <row r="24" spans="1:16" x14ac:dyDescent="0.2">
      <c r="A24" s="78">
        <v>20</v>
      </c>
      <c r="B24" s="79" t="s">
        <v>206</v>
      </c>
      <c r="C24" s="80" t="s">
        <v>193</v>
      </c>
      <c r="D24" s="126">
        <v>2850611</v>
      </c>
      <c r="E24" s="126">
        <v>2494637</v>
      </c>
      <c r="F24" s="126">
        <v>1676381</v>
      </c>
      <c r="G24" s="81">
        <v>1831713</v>
      </c>
      <c r="H24" s="81"/>
      <c r="I24" s="81"/>
      <c r="J24" s="81"/>
      <c r="K24" s="81"/>
      <c r="L24" s="81"/>
      <c r="M24" s="81"/>
      <c r="N24" s="81"/>
      <c r="O24" s="81">
        <v>2850611</v>
      </c>
    </row>
    <row r="25" spans="1:16" x14ac:dyDescent="0.2">
      <c r="A25" s="82">
        <v>21</v>
      </c>
      <c r="B25" s="75" t="s">
        <v>207</v>
      </c>
      <c r="C25" s="76" t="s">
        <v>193</v>
      </c>
      <c r="D25" s="77">
        <v>2290516</v>
      </c>
      <c r="E25" s="127">
        <v>2377777</v>
      </c>
      <c r="F25" s="77">
        <v>1717300</v>
      </c>
      <c r="G25" s="77"/>
      <c r="H25" s="77"/>
      <c r="I25" s="77"/>
      <c r="J25" s="77"/>
      <c r="K25" s="77"/>
      <c r="L25" s="77"/>
      <c r="M25" s="77"/>
      <c r="N25" s="77"/>
      <c r="O25" s="77">
        <v>2262286</v>
      </c>
    </row>
    <row r="26" spans="1:16" x14ac:dyDescent="0.2">
      <c r="A26" s="78">
        <v>22</v>
      </c>
      <c r="B26" s="79" t="s">
        <v>208</v>
      </c>
      <c r="C26" s="80" t="s">
        <v>193</v>
      </c>
      <c r="D26" s="138">
        <f t="shared" ref="D26:O31" si="2">+D14+D20</f>
        <v>14647461</v>
      </c>
      <c r="E26" s="138">
        <f t="shared" ref="E26:J26" si="3">+E14+E20</f>
        <v>17161050</v>
      </c>
      <c r="F26" s="139">
        <f t="shared" si="3"/>
        <v>13806209</v>
      </c>
      <c r="G26" s="138">
        <f t="shared" si="3"/>
        <v>14333565</v>
      </c>
      <c r="H26" s="138">
        <f t="shared" si="3"/>
        <v>0</v>
      </c>
      <c r="I26" s="138">
        <f t="shared" si="3"/>
        <v>0</v>
      </c>
      <c r="J26" s="138">
        <f t="shared" si="3"/>
        <v>0</v>
      </c>
      <c r="K26" s="138">
        <f t="shared" si="2"/>
        <v>0</v>
      </c>
      <c r="L26" s="138">
        <f t="shared" si="2"/>
        <v>0</v>
      </c>
      <c r="M26" s="138">
        <f t="shared" si="2"/>
        <v>0</v>
      </c>
      <c r="N26" s="138">
        <f t="shared" si="2"/>
        <v>0</v>
      </c>
      <c r="O26" s="138">
        <f t="shared" si="2"/>
        <v>14790226</v>
      </c>
    </row>
    <row r="27" spans="1:16" x14ac:dyDescent="0.2">
      <c r="A27" s="82">
        <v>23</v>
      </c>
      <c r="B27" s="75" t="s">
        <v>209</v>
      </c>
      <c r="C27" s="76" t="s">
        <v>193</v>
      </c>
      <c r="D27" s="138">
        <f t="shared" si="2"/>
        <v>11151538</v>
      </c>
      <c r="E27" s="138">
        <f t="shared" ref="E27:J27" si="4">+E15+E21</f>
        <v>14641135</v>
      </c>
      <c r="F27" s="139">
        <f t="shared" si="4"/>
        <v>11116021</v>
      </c>
      <c r="G27" s="138">
        <f t="shared" si="4"/>
        <v>0</v>
      </c>
      <c r="H27" s="138">
        <f t="shared" si="4"/>
        <v>0</v>
      </c>
      <c r="I27" s="138">
        <f t="shared" si="4"/>
        <v>0</v>
      </c>
      <c r="J27" s="138">
        <f t="shared" si="4"/>
        <v>0</v>
      </c>
      <c r="K27" s="138">
        <f t="shared" si="2"/>
        <v>0</v>
      </c>
      <c r="L27" s="138">
        <f t="shared" si="2"/>
        <v>0</v>
      </c>
      <c r="M27" s="138">
        <f t="shared" si="2"/>
        <v>0</v>
      </c>
      <c r="N27" s="138">
        <f t="shared" si="2"/>
        <v>0</v>
      </c>
      <c r="O27" s="138">
        <f t="shared" si="2"/>
        <v>10770279</v>
      </c>
    </row>
    <row r="28" spans="1:16" x14ac:dyDescent="0.2">
      <c r="A28" s="78">
        <v>24</v>
      </c>
      <c r="B28" s="79" t="s">
        <v>210</v>
      </c>
      <c r="C28" s="80" t="s">
        <v>193</v>
      </c>
      <c r="D28" s="138">
        <f t="shared" si="2"/>
        <v>7980450</v>
      </c>
      <c r="E28" s="138">
        <f t="shared" ref="E28:J28" si="5">+E16+E22</f>
        <v>9236747</v>
      </c>
      <c r="F28" s="139">
        <f t="shared" si="5"/>
        <v>7626873</v>
      </c>
      <c r="G28" s="138">
        <f t="shared" si="5"/>
        <v>8070725</v>
      </c>
      <c r="H28" s="138">
        <f t="shared" si="5"/>
        <v>0</v>
      </c>
      <c r="I28" s="138">
        <f t="shared" si="5"/>
        <v>0</v>
      </c>
      <c r="J28" s="138">
        <f t="shared" si="5"/>
        <v>0</v>
      </c>
      <c r="K28" s="138">
        <f t="shared" si="2"/>
        <v>0</v>
      </c>
      <c r="L28" s="138">
        <f t="shared" si="2"/>
        <v>0</v>
      </c>
      <c r="M28" s="138">
        <f t="shared" si="2"/>
        <v>0</v>
      </c>
      <c r="N28" s="138">
        <f t="shared" si="2"/>
        <v>0</v>
      </c>
      <c r="O28" s="138">
        <f t="shared" si="2"/>
        <v>8081188</v>
      </c>
    </row>
    <row r="29" spans="1:16" x14ac:dyDescent="0.2">
      <c r="A29" s="82">
        <v>25</v>
      </c>
      <c r="B29" s="75" t="s">
        <v>211</v>
      </c>
      <c r="C29" s="76" t="s">
        <v>193</v>
      </c>
      <c r="D29" s="138">
        <f t="shared" si="2"/>
        <v>6445621</v>
      </c>
      <c r="E29" s="138">
        <f t="shared" ref="E29:J29" si="6">+E17+E23</f>
        <v>8015929</v>
      </c>
      <c r="F29" s="139">
        <f t="shared" si="6"/>
        <v>6465656</v>
      </c>
      <c r="G29" s="138">
        <f t="shared" si="6"/>
        <v>0</v>
      </c>
      <c r="H29" s="138">
        <f t="shared" si="6"/>
        <v>0</v>
      </c>
      <c r="I29" s="138">
        <f t="shared" si="6"/>
        <v>0</v>
      </c>
      <c r="J29" s="138">
        <f t="shared" si="6"/>
        <v>0</v>
      </c>
      <c r="K29" s="138">
        <f t="shared" si="2"/>
        <v>0</v>
      </c>
      <c r="L29" s="138">
        <f t="shared" si="2"/>
        <v>0</v>
      </c>
      <c r="M29" s="138">
        <f t="shared" si="2"/>
        <v>0</v>
      </c>
      <c r="N29" s="138">
        <f t="shared" si="2"/>
        <v>0</v>
      </c>
      <c r="O29" s="138">
        <f t="shared" si="2"/>
        <v>6232860</v>
      </c>
    </row>
    <row r="30" spans="1:16" x14ac:dyDescent="0.2">
      <c r="A30" s="78">
        <v>26</v>
      </c>
      <c r="B30" s="79" t="s">
        <v>212</v>
      </c>
      <c r="C30" s="80" t="s">
        <v>193</v>
      </c>
      <c r="D30" s="138">
        <f t="shared" si="2"/>
        <v>12117958</v>
      </c>
      <c r="E30" s="138">
        <f t="shared" ref="E30:J30" si="7">+E18+E24</f>
        <v>11747616</v>
      </c>
      <c r="F30" s="139">
        <f t="shared" si="7"/>
        <v>10917007</v>
      </c>
      <c r="G30" s="138">
        <f t="shared" si="7"/>
        <v>11047634</v>
      </c>
      <c r="H30" s="138">
        <f t="shared" si="7"/>
        <v>0</v>
      </c>
      <c r="I30" s="138">
        <f t="shared" si="7"/>
        <v>0</v>
      </c>
      <c r="J30" s="138">
        <f t="shared" si="7"/>
        <v>0</v>
      </c>
      <c r="K30" s="138">
        <f t="shared" si="2"/>
        <v>0</v>
      </c>
      <c r="L30" s="138">
        <f t="shared" si="2"/>
        <v>0</v>
      </c>
      <c r="M30" s="138">
        <f t="shared" si="2"/>
        <v>0</v>
      </c>
      <c r="N30" s="138">
        <f t="shared" si="2"/>
        <v>0</v>
      </c>
      <c r="O30" s="138">
        <f t="shared" si="2"/>
        <v>12105605</v>
      </c>
    </row>
    <row r="31" spans="1:16" x14ac:dyDescent="0.2">
      <c r="A31" s="82">
        <v>27</v>
      </c>
      <c r="B31" s="75" t="s">
        <v>213</v>
      </c>
      <c r="C31" s="76" t="s">
        <v>193</v>
      </c>
      <c r="D31" s="138">
        <f t="shared" si="2"/>
        <v>9686741</v>
      </c>
      <c r="E31" s="138">
        <f t="shared" ref="E31:J31" si="8">+E19+E25</f>
        <v>10071186</v>
      </c>
      <c r="F31" s="139">
        <f t="shared" si="8"/>
        <v>9066023</v>
      </c>
      <c r="G31" s="138">
        <f t="shared" si="8"/>
        <v>0</v>
      </c>
      <c r="H31" s="138">
        <f t="shared" si="8"/>
        <v>0</v>
      </c>
      <c r="I31" s="138">
        <f t="shared" si="8"/>
        <v>0</v>
      </c>
      <c r="J31" s="138">
        <f t="shared" si="8"/>
        <v>0</v>
      </c>
      <c r="K31" s="138">
        <f t="shared" si="2"/>
        <v>0</v>
      </c>
      <c r="L31" s="138">
        <f t="shared" si="2"/>
        <v>0</v>
      </c>
      <c r="M31" s="138">
        <f t="shared" si="2"/>
        <v>0</v>
      </c>
      <c r="N31" s="138">
        <f t="shared" si="2"/>
        <v>0</v>
      </c>
      <c r="O31" s="138">
        <f t="shared" si="2"/>
        <v>9466361</v>
      </c>
    </row>
    <row r="32" spans="1:16" s="134" customFormat="1" x14ac:dyDescent="0.2">
      <c r="A32" s="128">
        <v>28</v>
      </c>
      <c r="B32" s="129" t="s">
        <v>214</v>
      </c>
      <c r="C32" s="130" t="s">
        <v>193</v>
      </c>
      <c r="D32" s="131">
        <f t="shared" ref="D32:O33" si="9">+D26+D28+D30</f>
        <v>34745869</v>
      </c>
      <c r="E32" s="131">
        <f t="shared" ref="E32:J32" si="10">+E26+E28+E30</f>
        <v>38145413</v>
      </c>
      <c r="F32" s="132">
        <f t="shared" si="10"/>
        <v>32350089</v>
      </c>
      <c r="G32" s="131">
        <f t="shared" si="10"/>
        <v>33451924</v>
      </c>
      <c r="H32" s="131">
        <f t="shared" si="10"/>
        <v>0</v>
      </c>
      <c r="I32" s="131">
        <f t="shared" si="10"/>
        <v>0</v>
      </c>
      <c r="J32" s="131">
        <f t="shared" si="10"/>
        <v>0</v>
      </c>
      <c r="K32" s="131">
        <f t="shared" si="9"/>
        <v>0</v>
      </c>
      <c r="L32" s="131">
        <f t="shared" si="9"/>
        <v>0</v>
      </c>
      <c r="M32" s="131">
        <f t="shared" si="9"/>
        <v>0</v>
      </c>
      <c r="N32" s="131">
        <f t="shared" si="9"/>
        <v>0</v>
      </c>
      <c r="O32" s="131">
        <f t="shared" si="9"/>
        <v>34977019</v>
      </c>
      <c r="P32" s="133"/>
    </row>
    <row r="33" spans="1:16" s="134" customFormat="1" x14ac:dyDescent="0.2">
      <c r="A33" s="135">
        <v>29</v>
      </c>
      <c r="B33" s="136" t="s">
        <v>215</v>
      </c>
      <c r="C33" s="137" t="s">
        <v>193</v>
      </c>
      <c r="D33" s="131">
        <f t="shared" si="9"/>
        <v>27283900</v>
      </c>
      <c r="E33" s="131">
        <f t="shared" ref="E33:H33" si="11">+E27+E29+E31</f>
        <v>32728250</v>
      </c>
      <c r="F33" s="132">
        <f t="shared" si="11"/>
        <v>26647700</v>
      </c>
      <c r="G33" s="131">
        <f t="shared" si="11"/>
        <v>0</v>
      </c>
      <c r="H33" s="131">
        <f t="shared" si="11"/>
        <v>0</v>
      </c>
      <c r="I33" s="131">
        <f t="shared" ref="I33:J33" si="12">+I31+I29+I27</f>
        <v>0</v>
      </c>
      <c r="J33" s="131">
        <f t="shared" si="12"/>
        <v>0</v>
      </c>
      <c r="K33" s="131">
        <f t="shared" ref="K33:O33" si="13">+K31+K29+K27</f>
        <v>0</v>
      </c>
      <c r="L33" s="131">
        <f t="shared" si="13"/>
        <v>0</v>
      </c>
      <c r="M33" s="131">
        <f t="shared" si="13"/>
        <v>0</v>
      </c>
      <c r="N33" s="131">
        <f t="shared" si="13"/>
        <v>0</v>
      </c>
      <c r="O33" s="131">
        <f t="shared" si="13"/>
        <v>26469500</v>
      </c>
    </row>
    <row r="34" spans="1:16" x14ac:dyDescent="0.2">
      <c r="A34" s="86">
        <v>30</v>
      </c>
      <c r="B34" s="79" t="s">
        <v>216</v>
      </c>
      <c r="C34" s="80" t="s">
        <v>217</v>
      </c>
      <c r="D34" s="87"/>
      <c r="E34" s="87"/>
      <c r="F34" s="87"/>
      <c r="G34" s="87"/>
      <c r="H34" s="88"/>
      <c r="I34" s="88"/>
      <c r="J34" s="88"/>
      <c r="K34" s="88"/>
      <c r="L34" s="88"/>
      <c r="M34" s="88"/>
      <c r="N34" s="88"/>
      <c r="O34" s="88"/>
      <c r="P34" s="116"/>
    </row>
    <row r="35" spans="1:16" x14ac:dyDescent="0.2">
      <c r="A35" s="89">
        <v>31</v>
      </c>
      <c r="B35" s="90" t="s">
        <v>218</v>
      </c>
      <c r="C35" s="91" t="s">
        <v>217</v>
      </c>
      <c r="D35" s="87"/>
      <c r="E35" s="92"/>
      <c r="F35" s="92"/>
      <c r="G35" s="143"/>
      <c r="H35" s="93"/>
      <c r="I35" s="144"/>
      <c r="J35" s="93"/>
      <c r="K35" s="93"/>
      <c r="L35" s="144"/>
      <c r="M35" s="144"/>
      <c r="N35" s="144"/>
      <c r="O35" s="93"/>
    </row>
    <row r="36" spans="1:16" x14ac:dyDescent="0.2">
      <c r="A36" s="79"/>
      <c r="B36" s="79" t="s">
        <v>219</v>
      </c>
      <c r="C36" s="80"/>
      <c r="D36" s="87">
        <v>70.08</v>
      </c>
      <c r="E36" s="87">
        <v>51.26</v>
      </c>
      <c r="F36" s="145"/>
      <c r="G36" s="145"/>
      <c r="H36" s="146"/>
      <c r="I36" s="146"/>
      <c r="J36" s="146"/>
      <c r="K36" s="88"/>
      <c r="L36" s="88"/>
      <c r="M36" s="88"/>
      <c r="N36" s="88"/>
      <c r="O36" s="146">
        <v>58.48</v>
      </c>
      <c r="P36" s="56">
        <f>SUM(D36:O36)</f>
        <v>179.82</v>
      </c>
    </row>
    <row r="37" spans="1:16" x14ac:dyDescent="0.2">
      <c r="A37" s="94">
        <v>33</v>
      </c>
      <c r="B37" s="95" t="s">
        <v>134</v>
      </c>
      <c r="C37" s="96"/>
      <c r="D37" s="117">
        <f>+D32-D33</f>
        <v>7461969</v>
      </c>
      <c r="E37" s="117">
        <f t="shared" ref="E37:O37" si="14">+E32-E33</f>
        <v>5417163</v>
      </c>
      <c r="F37" s="117">
        <f t="shared" si="14"/>
        <v>5702389</v>
      </c>
      <c r="G37" s="117">
        <f t="shared" si="14"/>
        <v>33451924</v>
      </c>
      <c r="H37" s="117">
        <f t="shared" si="14"/>
        <v>0</v>
      </c>
      <c r="I37" s="117">
        <f t="shared" si="14"/>
        <v>0</v>
      </c>
      <c r="J37" s="117">
        <f t="shared" si="14"/>
        <v>0</v>
      </c>
      <c r="K37" s="117">
        <f t="shared" si="14"/>
        <v>0</v>
      </c>
      <c r="L37" s="117">
        <f t="shared" si="14"/>
        <v>0</v>
      </c>
      <c r="M37" s="117">
        <f t="shared" si="14"/>
        <v>0</v>
      </c>
      <c r="N37" s="117">
        <f t="shared" si="14"/>
        <v>0</v>
      </c>
      <c r="O37" s="117">
        <f t="shared" si="14"/>
        <v>8507519</v>
      </c>
    </row>
    <row r="38" spans="1:16" x14ac:dyDescent="0.2">
      <c r="A38" s="97">
        <v>34</v>
      </c>
      <c r="B38" s="79" t="s">
        <v>140</v>
      </c>
      <c r="C38" s="80"/>
      <c r="D38" s="87">
        <v>980</v>
      </c>
      <c r="E38" s="87">
        <v>975</v>
      </c>
      <c r="F38" s="87">
        <v>1004</v>
      </c>
      <c r="G38" s="87">
        <v>1005</v>
      </c>
      <c r="H38" s="87"/>
      <c r="I38" s="87"/>
      <c r="J38" s="87"/>
      <c r="K38" s="88"/>
      <c r="L38" s="88"/>
      <c r="M38" s="88"/>
      <c r="N38" s="88"/>
      <c r="O38" s="88">
        <v>927</v>
      </c>
      <c r="P38" s="147">
        <f>+O38/O6</f>
        <v>0.82399999999999995</v>
      </c>
    </row>
    <row r="39" spans="1:16" x14ac:dyDescent="0.2">
      <c r="A39" s="98">
        <v>35</v>
      </c>
      <c r="B39" s="75" t="s">
        <v>260</v>
      </c>
      <c r="C39" s="76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99"/>
      <c r="O39" s="99"/>
    </row>
    <row r="40" spans="1:16" x14ac:dyDescent="0.2">
      <c r="A40" s="97">
        <v>36</v>
      </c>
      <c r="B40" s="79" t="s">
        <v>261</v>
      </c>
      <c r="C40" s="80"/>
      <c r="D40" s="87">
        <v>3</v>
      </c>
      <c r="E40" s="87">
        <v>3</v>
      </c>
      <c r="F40" s="87"/>
      <c r="G40" s="87"/>
      <c r="H40" s="87"/>
      <c r="I40" s="87"/>
      <c r="J40" s="88"/>
      <c r="K40" s="88"/>
      <c r="L40" s="88"/>
      <c r="M40" s="88"/>
      <c r="N40" s="88"/>
      <c r="O40" s="88">
        <v>3</v>
      </c>
    </row>
    <row r="41" spans="1:16" x14ac:dyDescent="0.2">
      <c r="A41" s="89"/>
      <c r="B41" s="89"/>
      <c r="C41" s="100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2"/>
    </row>
    <row r="42" spans="1:16" x14ac:dyDescent="0.2">
      <c r="A42" s="97"/>
      <c r="B42" s="79" t="s">
        <v>32</v>
      </c>
      <c r="C42" s="80"/>
      <c r="D42" s="103">
        <f>+D4</f>
        <v>45658</v>
      </c>
      <c r="E42" s="104">
        <f t="shared" ref="E42:O42" si="15">+E4</f>
        <v>45689</v>
      </c>
      <c r="F42" s="104">
        <f t="shared" si="15"/>
        <v>45717</v>
      </c>
      <c r="G42" s="104">
        <f t="shared" si="15"/>
        <v>45748</v>
      </c>
      <c r="H42" s="104">
        <f t="shared" si="15"/>
        <v>45778</v>
      </c>
      <c r="I42" s="104">
        <f t="shared" si="15"/>
        <v>45809</v>
      </c>
      <c r="J42" s="104">
        <f t="shared" si="15"/>
        <v>45839</v>
      </c>
      <c r="K42" s="104">
        <f t="shared" si="15"/>
        <v>45870</v>
      </c>
      <c r="L42" s="104">
        <f t="shared" si="15"/>
        <v>45901</v>
      </c>
      <c r="M42" s="104">
        <f t="shared" si="15"/>
        <v>45931</v>
      </c>
      <c r="N42" s="104">
        <f t="shared" si="15"/>
        <v>45962</v>
      </c>
      <c r="O42" s="104">
        <f t="shared" si="15"/>
        <v>45992</v>
      </c>
    </row>
    <row r="43" spans="1:16" x14ac:dyDescent="0.2">
      <c r="A43" s="98"/>
      <c r="B43" s="75" t="s">
        <v>220</v>
      </c>
      <c r="C43" s="76"/>
      <c r="D43" s="118">
        <f t="shared" ref="D43:O44" si="16">+D14+D16+D18</f>
        <v>26245835</v>
      </c>
      <c r="E43" s="118">
        <f t="shared" si="16"/>
        <v>30790244</v>
      </c>
      <c r="F43" s="118">
        <f t="shared" si="16"/>
        <v>27010426</v>
      </c>
      <c r="G43" s="118">
        <f t="shared" si="16"/>
        <v>28246685</v>
      </c>
      <c r="H43" s="118">
        <f t="shared" si="16"/>
        <v>0</v>
      </c>
      <c r="I43" s="118">
        <f t="shared" si="16"/>
        <v>0</v>
      </c>
      <c r="J43" s="118">
        <f t="shared" si="16"/>
        <v>0</v>
      </c>
      <c r="K43" s="118">
        <f t="shared" si="16"/>
        <v>0</v>
      </c>
      <c r="L43" s="118">
        <f t="shared" si="16"/>
        <v>0</v>
      </c>
      <c r="M43" s="118">
        <f t="shared" si="16"/>
        <v>0</v>
      </c>
      <c r="N43" s="118">
        <f t="shared" si="16"/>
        <v>0</v>
      </c>
      <c r="O43" s="118">
        <f t="shared" si="16"/>
        <v>26476985</v>
      </c>
    </row>
    <row r="44" spans="1:16" x14ac:dyDescent="0.2">
      <c r="A44" s="97"/>
      <c r="B44" s="79" t="s">
        <v>221</v>
      </c>
      <c r="C44" s="80"/>
      <c r="D44" s="118">
        <f t="shared" si="16"/>
        <v>20768066</v>
      </c>
      <c r="E44" s="118">
        <f t="shared" si="16"/>
        <v>25985831</v>
      </c>
      <c r="F44" s="118">
        <f t="shared" si="16"/>
        <v>21264482</v>
      </c>
      <c r="G44" s="118">
        <f t="shared" si="16"/>
        <v>0</v>
      </c>
      <c r="H44" s="118">
        <f t="shared" si="16"/>
        <v>0</v>
      </c>
      <c r="I44" s="118">
        <f t="shared" si="16"/>
        <v>0</v>
      </c>
      <c r="J44" s="118">
        <f t="shared" si="16"/>
        <v>0</v>
      </c>
      <c r="K44" s="118">
        <f t="shared" si="16"/>
        <v>0</v>
      </c>
      <c r="L44" s="118">
        <f t="shared" si="16"/>
        <v>0</v>
      </c>
      <c r="M44" s="118">
        <f t="shared" si="16"/>
        <v>0</v>
      </c>
      <c r="N44" s="118">
        <f t="shared" si="16"/>
        <v>0</v>
      </c>
      <c r="O44" s="118">
        <f t="shared" si="16"/>
        <v>20085216</v>
      </c>
    </row>
    <row r="45" spans="1:16" x14ac:dyDescent="0.2">
      <c r="A45" s="98"/>
      <c r="B45" s="75" t="s">
        <v>32</v>
      </c>
      <c r="C45" s="76"/>
      <c r="D45" s="104">
        <f>+D4</f>
        <v>45658</v>
      </c>
      <c r="E45" s="104">
        <f t="shared" ref="E45:O45" si="17">+E4</f>
        <v>45689</v>
      </c>
      <c r="F45" s="104">
        <f t="shared" si="17"/>
        <v>45717</v>
      </c>
      <c r="G45" s="104">
        <f t="shared" si="17"/>
        <v>45748</v>
      </c>
      <c r="H45" s="104">
        <f t="shared" si="17"/>
        <v>45778</v>
      </c>
      <c r="I45" s="104">
        <f t="shared" si="17"/>
        <v>45809</v>
      </c>
      <c r="J45" s="104">
        <f t="shared" si="17"/>
        <v>45839</v>
      </c>
      <c r="K45" s="104">
        <f t="shared" si="17"/>
        <v>45870</v>
      </c>
      <c r="L45" s="104">
        <f t="shared" si="17"/>
        <v>45901</v>
      </c>
      <c r="M45" s="104">
        <f t="shared" si="17"/>
        <v>45931</v>
      </c>
      <c r="N45" s="104">
        <f t="shared" si="17"/>
        <v>45962</v>
      </c>
      <c r="O45" s="104">
        <f t="shared" si="17"/>
        <v>45992</v>
      </c>
    </row>
    <row r="46" spans="1:16" x14ac:dyDescent="0.2">
      <c r="A46" s="97"/>
      <c r="B46" s="79" t="s">
        <v>222</v>
      </c>
      <c r="C46" s="80"/>
      <c r="D46" s="118">
        <f t="shared" ref="D46:O47" si="18">+D20+D22+D24</f>
        <v>8500034</v>
      </c>
      <c r="E46" s="118">
        <f t="shared" si="18"/>
        <v>7355169</v>
      </c>
      <c r="F46" s="118">
        <f t="shared" si="18"/>
        <v>5339663</v>
      </c>
      <c r="G46" s="118">
        <f t="shared" si="18"/>
        <v>5205239</v>
      </c>
      <c r="H46" s="118">
        <f t="shared" si="18"/>
        <v>0</v>
      </c>
      <c r="I46" s="118">
        <f t="shared" si="18"/>
        <v>0</v>
      </c>
      <c r="J46" s="118">
        <f t="shared" si="18"/>
        <v>0</v>
      </c>
      <c r="K46" s="118">
        <f t="shared" si="18"/>
        <v>0</v>
      </c>
      <c r="L46" s="118">
        <f t="shared" si="18"/>
        <v>0</v>
      </c>
      <c r="M46" s="118">
        <f t="shared" si="18"/>
        <v>0</v>
      </c>
      <c r="N46" s="118">
        <f t="shared" si="18"/>
        <v>0</v>
      </c>
      <c r="O46" s="118">
        <f t="shared" si="18"/>
        <v>8500034</v>
      </c>
    </row>
    <row r="47" spans="1:16" x14ac:dyDescent="0.2">
      <c r="A47" s="98"/>
      <c r="B47" s="75" t="s">
        <v>223</v>
      </c>
      <c r="C47" s="76"/>
      <c r="D47" s="118">
        <f t="shared" si="18"/>
        <v>6515834</v>
      </c>
      <c r="E47" s="118">
        <f t="shared" si="18"/>
        <v>6742419</v>
      </c>
      <c r="F47" s="118">
        <f t="shared" si="18"/>
        <v>5383218</v>
      </c>
      <c r="G47" s="118">
        <f t="shared" si="18"/>
        <v>0</v>
      </c>
      <c r="H47" s="118">
        <f t="shared" si="18"/>
        <v>0</v>
      </c>
      <c r="I47" s="118">
        <f t="shared" si="18"/>
        <v>0</v>
      </c>
      <c r="J47" s="118">
        <f t="shared" si="18"/>
        <v>0</v>
      </c>
      <c r="K47" s="118">
        <f t="shared" si="18"/>
        <v>0</v>
      </c>
      <c r="L47" s="118">
        <f t="shared" si="18"/>
        <v>0</v>
      </c>
      <c r="M47" s="118">
        <f t="shared" si="18"/>
        <v>0</v>
      </c>
      <c r="N47" s="118">
        <f t="shared" si="18"/>
        <v>0</v>
      </c>
      <c r="O47" s="118">
        <f t="shared" si="18"/>
        <v>6384284</v>
      </c>
    </row>
    <row r="48" spans="1:16" x14ac:dyDescent="0.2">
      <c r="A48" s="97"/>
      <c r="B48" s="79" t="s">
        <v>224</v>
      </c>
      <c r="C48" s="80"/>
      <c r="D48" s="119">
        <f t="shared" ref="D48:O48" si="19">+D44/D43</f>
        <v>0.79128997038958748</v>
      </c>
      <c r="E48" s="119">
        <f t="shared" si="19"/>
        <v>0.84396313975296855</v>
      </c>
      <c r="F48" s="119">
        <f t="shared" si="19"/>
        <v>0.78726940478465612</v>
      </c>
      <c r="G48" s="119">
        <f t="shared" si="19"/>
        <v>0</v>
      </c>
      <c r="H48" s="119" t="e">
        <f t="shared" si="19"/>
        <v>#DIV/0!</v>
      </c>
      <c r="I48" s="119" t="e">
        <f t="shared" si="19"/>
        <v>#DIV/0!</v>
      </c>
      <c r="J48" s="119" t="e">
        <f t="shared" si="19"/>
        <v>#DIV/0!</v>
      </c>
      <c r="K48" s="119" t="e">
        <f t="shared" si="19"/>
        <v>#DIV/0!</v>
      </c>
      <c r="L48" s="119" t="e">
        <f t="shared" si="19"/>
        <v>#DIV/0!</v>
      </c>
      <c r="M48" s="119" t="e">
        <f t="shared" si="19"/>
        <v>#DIV/0!</v>
      </c>
      <c r="N48" s="119" t="e">
        <f t="shared" si="19"/>
        <v>#DIV/0!</v>
      </c>
      <c r="O48" s="119">
        <f t="shared" si="19"/>
        <v>0.75859150881416448</v>
      </c>
    </row>
    <row r="49" spans="1:16" x14ac:dyDescent="0.2">
      <c r="A49" s="98"/>
      <c r="B49" s="75" t="s">
        <v>225</v>
      </c>
      <c r="C49" s="76"/>
      <c r="D49" s="119">
        <f t="shared" ref="D49:O49" si="20">+D47/D46</f>
        <v>0.76656563961979451</v>
      </c>
      <c r="E49" s="119">
        <f t="shared" si="20"/>
        <v>0.9166912412209699</v>
      </c>
      <c r="F49" s="119">
        <f t="shared" si="20"/>
        <v>1.0081568818107061</v>
      </c>
      <c r="G49" s="119">
        <f t="shared" si="20"/>
        <v>0</v>
      </c>
      <c r="H49" s="119" t="e">
        <f t="shared" si="20"/>
        <v>#DIV/0!</v>
      </c>
      <c r="I49" s="119" t="e">
        <f t="shared" si="20"/>
        <v>#DIV/0!</v>
      </c>
      <c r="J49" s="119" t="e">
        <f t="shared" si="20"/>
        <v>#DIV/0!</v>
      </c>
      <c r="K49" s="119" t="e">
        <f t="shared" si="20"/>
        <v>#DIV/0!</v>
      </c>
      <c r="L49" s="119" t="e">
        <f t="shared" si="20"/>
        <v>#DIV/0!</v>
      </c>
      <c r="M49" s="119" t="e">
        <f t="shared" si="20"/>
        <v>#DIV/0!</v>
      </c>
      <c r="N49" s="119" t="e">
        <f t="shared" si="20"/>
        <v>#DIV/0!</v>
      </c>
      <c r="O49" s="119">
        <f t="shared" si="20"/>
        <v>0.75108923093719393</v>
      </c>
    </row>
    <row r="50" spans="1:16" x14ac:dyDescent="0.2">
      <c r="A50" s="89"/>
      <c r="B50" s="89"/>
      <c r="C50" s="100"/>
      <c r="D50" s="101"/>
      <c r="E50" s="101"/>
      <c r="F50" s="101"/>
      <c r="G50" s="101"/>
      <c r="H50" s="105"/>
      <c r="I50" s="105"/>
      <c r="J50" s="105"/>
      <c r="K50" s="105"/>
      <c r="L50" s="105"/>
      <c r="M50" s="105"/>
      <c r="N50" s="105"/>
      <c r="O50" s="105"/>
    </row>
    <row r="51" spans="1:16" x14ac:dyDescent="0.2">
      <c r="A51" s="89"/>
      <c r="B51" s="89"/>
      <c r="C51" s="89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</row>
    <row r="52" spans="1:16" x14ac:dyDescent="0.2">
      <c r="A52" s="154" t="s">
        <v>226</v>
      </c>
      <c r="B52" s="155"/>
      <c r="C52" s="71" t="s">
        <v>184</v>
      </c>
      <c r="D52" s="72">
        <f>+D4</f>
        <v>45658</v>
      </c>
      <c r="E52" s="72">
        <f t="shared" ref="E52:O52" si="21">+E4</f>
        <v>45689</v>
      </c>
      <c r="F52" s="72">
        <f t="shared" si="21"/>
        <v>45717</v>
      </c>
      <c r="G52" s="72">
        <f t="shared" si="21"/>
        <v>45748</v>
      </c>
      <c r="H52" s="72">
        <f t="shared" si="21"/>
        <v>45778</v>
      </c>
      <c r="I52" s="72">
        <f t="shared" si="21"/>
        <v>45809</v>
      </c>
      <c r="J52" s="72">
        <f t="shared" si="21"/>
        <v>45839</v>
      </c>
      <c r="K52" s="72">
        <f t="shared" si="21"/>
        <v>45870</v>
      </c>
      <c r="L52" s="72">
        <f t="shared" si="21"/>
        <v>45901</v>
      </c>
      <c r="M52" s="72">
        <f t="shared" si="21"/>
        <v>45931</v>
      </c>
      <c r="N52" s="72">
        <f t="shared" si="21"/>
        <v>45962</v>
      </c>
      <c r="O52" s="72">
        <f t="shared" si="21"/>
        <v>45992</v>
      </c>
    </row>
    <row r="53" spans="1:16" x14ac:dyDescent="0.2">
      <c r="A53" s="98">
        <v>1</v>
      </c>
      <c r="B53" s="75" t="s">
        <v>227</v>
      </c>
      <c r="C53" s="76" t="s">
        <v>228</v>
      </c>
      <c r="D53" s="120" t="e">
        <f>+D6/D5</f>
        <v>#DIV/0!</v>
      </c>
      <c r="E53" s="120" t="e">
        <f t="shared" ref="E53:N53" si="22">+E6/E5</f>
        <v>#DIV/0!</v>
      </c>
      <c r="F53" s="120" t="e">
        <f t="shared" si="22"/>
        <v>#DIV/0!</v>
      </c>
      <c r="G53" s="120" t="e">
        <f t="shared" si="22"/>
        <v>#DIV/0!</v>
      </c>
      <c r="H53" s="120" t="e">
        <f t="shared" si="22"/>
        <v>#DIV/0!</v>
      </c>
      <c r="I53" s="120" t="e">
        <f t="shared" si="22"/>
        <v>#DIV/0!</v>
      </c>
      <c r="J53" s="120" t="e">
        <f t="shared" si="22"/>
        <v>#DIV/0!</v>
      </c>
      <c r="K53" s="120" t="e">
        <f t="shared" si="22"/>
        <v>#DIV/0!</v>
      </c>
      <c r="L53" s="120" t="e">
        <f t="shared" si="22"/>
        <v>#DIV/0!</v>
      </c>
      <c r="M53" s="120" t="e">
        <f t="shared" si="22"/>
        <v>#DIV/0!</v>
      </c>
      <c r="N53" s="120" t="e">
        <f t="shared" si="22"/>
        <v>#DIV/0!</v>
      </c>
      <c r="O53" s="120">
        <f t="shared" ref="O53" si="23">+O6/O5</f>
        <v>0.98167539267015702</v>
      </c>
      <c r="P53" s="148" t="e">
        <f>SUM(D53:O53)</f>
        <v>#DIV/0!</v>
      </c>
    </row>
    <row r="54" spans="1:16" x14ac:dyDescent="0.2">
      <c r="A54" s="97">
        <v>2</v>
      </c>
      <c r="B54" s="79" t="s">
        <v>229</v>
      </c>
      <c r="C54" s="80" t="s">
        <v>228</v>
      </c>
      <c r="D54" s="120" t="e">
        <f>+D7/D5</f>
        <v>#DIV/0!</v>
      </c>
      <c r="E54" s="120" t="e">
        <f t="shared" ref="E54:N54" si="24">+E7/E5</f>
        <v>#DIV/0!</v>
      </c>
      <c r="F54" s="120" t="e">
        <f t="shared" si="24"/>
        <v>#DIV/0!</v>
      </c>
      <c r="G54" s="120" t="e">
        <f t="shared" si="24"/>
        <v>#DIV/0!</v>
      </c>
      <c r="H54" s="120" t="e">
        <f t="shared" si="24"/>
        <v>#DIV/0!</v>
      </c>
      <c r="I54" s="120" t="e">
        <f t="shared" si="24"/>
        <v>#DIV/0!</v>
      </c>
      <c r="J54" s="120" t="e">
        <f t="shared" si="24"/>
        <v>#DIV/0!</v>
      </c>
      <c r="K54" s="120" t="e">
        <f t="shared" si="24"/>
        <v>#DIV/0!</v>
      </c>
      <c r="L54" s="120" t="e">
        <f t="shared" si="24"/>
        <v>#DIV/0!</v>
      </c>
      <c r="M54" s="120" t="e">
        <f t="shared" si="24"/>
        <v>#DIV/0!</v>
      </c>
      <c r="N54" s="120" t="e">
        <f t="shared" si="24"/>
        <v>#DIV/0!</v>
      </c>
      <c r="O54" s="120">
        <f t="shared" ref="O54" si="25">+O7/O5</f>
        <v>0.96247818499127402</v>
      </c>
      <c r="P54" s="148" t="e">
        <f t="shared" ref="P54:P55" si="26">SUM(D54:O54)</f>
        <v>#DIV/0!</v>
      </c>
    </row>
    <row r="55" spans="1:16" x14ac:dyDescent="0.2">
      <c r="A55" s="98">
        <v>3</v>
      </c>
      <c r="B55" s="75" t="s">
        <v>230</v>
      </c>
      <c r="C55" s="76" t="s">
        <v>228</v>
      </c>
      <c r="D55" s="120" t="str">
        <f>IF((D5&gt;0),D8/D5,"-")</f>
        <v>-</v>
      </c>
      <c r="E55" s="120" t="str">
        <f t="shared" ref="E55:N55" si="27">IF((E5&gt;0),E8/E5,"-")</f>
        <v>-</v>
      </c>
      <c r="F55" s="120" t="str">
        <f t="shared" si="27"/>
        <v>-</v>
      </c>
      <c r="G55" s="120" t="str">
        <f t="shared" si="27"/>
        <v>-</v>
      </c>
      <c r="H55" s="120" t="str">
        <f t="shared" si="27"/>
        <v>-</v>
      </c>
      <c r="I55" s="120" t="str">
        <f t="shared" si="27"/>
        <v>-</v>
      </c>
      <c r="J55" s="120" t="str">
        <f t="shared" si="27"/>
        <v>-</v>
      </c>
      <c r="K55" s="120" t="str">
        <f t="shared" si="27"/>
        <v>-</v>
      </c>
      <c r="L55" s="120" t="str">
        <f t="shared" si="27"/>
        <v>-</v>
      </c>
      <c r="M55" s="120" t="str">
        <f t="shared" si="27"/>
        <v>-</v>
      </c>
      <c r="N55" s="120" t="str">
        <f t="shared" si="27"/>
        <v>-</v>
      </c>
      <c r="O55" s="120">
        <f t="shared" ref="O55" si="28">IF((O5&gt;0),O8/O5,"-")</f>
        <v>0.9511343804537522</v>
      </c>
      <c r="P55" s="148">
        <f t="shared" si="26"/>
        <v>0.9511343804537522</v>
      </c>
    </row>
    <row r="56" spans="1:16" x14ac:dyDescent="0.2">
      <c r="A56" s="97">
        <v>4</v>
      </c>
      <c r="B56" s="79" t="s">
        <v>231</v>
      </c>
      <c r="C56" s="80" t="s">
        <v>232</v>
      </c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</row>
    <row r="57" spans="1:16" x14ac:dyDescent="0.2">
      <c r="A57" s="98">
        <v>5</v>
      </c>
      <c r="B57" s="75" t="s">
        <v>233</v>
      </c>
      <c r="C57" s="76" t="s">
        <v>228</v>
      </c>
      <c r="D57" s="120">
        <f>+ROUND((D9-D10)/D9,4)</f>
        <v>0.53620000000000001</v>
      </c>
      <c r="E57" s="120">
        <f t="shared" ref="E57:O57" si="29">+ROUND((E9-E10)/E9,4)</f>
        <v>0.33129999999999998</v>
      </c>
      <c r="F57" s="120">
        <f t="shared" si="29"/>
        <v>0.52959999999999996</v>
      </c>
      <c r="G57" s="120" t="e">
        <f t="shared" si="29"/>
        <v>#DIV/0!</v>
      </c>
      <c r="H57" s="120" t="e">
        <f>+ROUND((H9-H10)/H9,4)</f>
        <v>#DIV/0!</v>
      </c>
      <c r="I57" s="120" t="e">
        <f t="shared" si="29"/>
        <v>#DIV/0!</v>
      </c>
      <c r="J57" s="120" t="e">
        <f t="shared" si="29"/>
        <v>#DIV/0!</v>
      </c>
      <c r="K57" s="120" t="e">
        <f t="shared" si="29"/>
        <v>#DIV/0!</v>
      </c>
      <c r="L57" s="120" t="e">
        <f t="shared" si="29"/>
        <v>#DIV/0!</v>
      </c>
      <c r="M57" s="120" t="e">
        <f t="shared" si="29"/>
        <v>#DIV/0!</v>
      </c>
      <c r="N57" s="120" t="e">
        <f t="shared" si="29"/>
        <v>#DIV/0!</v>
      </c>
      <c r="O57" s="120">
        <f t="shared" si="29"/>
        <v>0.50749999999999995</v>
      </c>
      <c r="P57" s="120" t="e">
        <f>AVERAGE(D57:O57)</f>
        <v>#DIV/0!</v>
      </c>
    </row>
    <row r="58" spans="1:16" x14ac:dyDescent="0.2">
      <c r="A58" s="97">
        <v>6</v>
      </c>
      <c r="B58" s="79" t="s">
        <v>234</v>
      </c>
      <c r="C58" s="80" t="s">
        <v>228</v>
      </c>
      <c r="D58" s="121">
        <f>+D15/D14</f>
        <v>0.7794986615547822</v>
      </c>
      <c r="E58" s="121">
        <f t="shared" ref="E58:O58" si="30">+E15/E14</f>
        <v>0.85139960631213696</v>
      </c>
      <c r="F58" s="121">
        <f t="shared" si="30"/>
        <v>0.77948290024381661</v>
      </c>
      <c r="G58" s="121">
        <f t="shared" si="30"/>
        <v>0</v>
      </c>
      <c r="H58" s="121" t="e">
        <f t="shared" si="30"/>
        <v>#DIV/0!</v>
      </c>
      <c r="I58" s="121" t="e">
        <f t="shared" si="30"/>
        <v>#DIV/0!</v>
      </c>
      <c r="J58" s="120" t="e">
        <f t="shared" si="30"/>
        <v>#DIV/0!</v>
      </c>
      <c r="K58" s="120" t="e">
        <f t="shared" si="30"/>
        <v>#DIV/0!</v>
      </c>
      <c r="L58" s="120" t="e">
        <f t="shared" si="30"/>
        <v>#DIV/0!</v>
      </c>
      <c r="M58" s="120" t="e">
        <f t="shared" si="30"/>
        <v>#DIV/0!</v>
      </c>
      <c r="N58" s="120" t="e">
        <f t="shared" si="30"/>
        <v>#DIV/0!</v>
      </c>
      <c r="O58" s="120">
        <f t="shared" si="30"/>
        <v>0.74103374777845676</v>
      </c>
      <c r="P58" s="149" t="e">
        <f>SUM(D58:O58)</f>
        <v>#DIV/0!</v>
      </c>
    </row>
    <row r="59" spans="1:16" x14ac:dyDescent="0.2">
      <c r="A59" s="98">
        <v>7</v>
      </c>
      <c r="B59" s="75" t="s">
        <v>235</v>
      </c>
      <c r="C59" s="76" t="s">
        <v>228</v>
      </c>
      <c r="D59" s="121">
        <f>+D17/D16</f>
        <v>0.80181601910865863</v>
      </c>
      <c r="E59" s="121">
        <f t="shared" ref="E59:O59" si="31">+E17/E16</f>
        <v>0.84561653010806503</v>
      </c>
      <c r="F59" s="121">
        <f t="shared" si="31"/>
        <v>0.78953233735972894</v>
      </c>
      <c r="G59" s="121">
        <f t="shared" si="31"/>
        <v>0</v>
      </c>
      <c r="H59" s="121" t="e">
        <f t="shared" si="31"/>
        <v>#DIV/0!</v>
      </c>
      <c r="I59" s="121" t="e">
        <f t="shared" si="31"/>
        <v>#DIV/0!</v>
      </c>
      <c r="J59" s="120" t="e">
        <f t="shared" si="31"/>
        <v>#DIV/0!</v>
      </c>
      <c r="K59" s="120" t="e">
        <f t="shared" si="31"/>
        <v>#DIV/0!</v>
      </c>
      <c r="L59" s="120" t="e">
        <f t="shared" si="31"/>
        <v>#DIV/0!</v>
      </c>
      <c r="M59" s="120" t="e">
        <f t="shared" si="31"/>
        <v>#DIV/0!</v>
      </c>
      <c r="N59" s="120" t="e">
        <f t="shared" si="31"/>
        <v>#DIV/0!</v>
      </c>
      <c r="O59" s="120">
        <f t="shared" si="31"/>
        <v>0.7600981332301745</v>
      </c>
    </row>
    <row r="60" spans="1:16" x14ac:dyDescent="0.2">
      <c r="A60" s="97">
        <v>8</v>
      </c>
      <c r="B60" s="79" t="s">
        <v>236</v>
      </c>
      <c r="C60" s="80" t="s">
        <v>228</v>
      </c>
      <c r="D60" s="121">
        <f>+D19/D18</f>
        <v>0.7980951830119235</v>
      </c>
      <c r="E60" s="121">
        <f t="shared" ref="E60:O60" si="32">+E19/E18</f>
        <v>0.8314521193660982</v>
      </c>
      <c r="F60" s="121">
        <f t="shared" si="32"/>
        <v>0.7952624638200918</v>
      </c>
      <c r="G60" s="121">
        <f t="shared" si="32"/>
        <v>0</v>
      </c>
      <c r="H60" s="121" t="e">
        <f t="shared" si="32"/>
        <v>#DIV/0!</v>
      </c>
      <c r="I60" s="121" t="e">
        <f t="shared" si="32"/>
        <v>#DIV/0!</v>
      </c>
      <c r="J60" s="120" t="e">
        <f t="shared" si="32"/>
        <v>#DIV/0!</v>
      </c>
      <c r="K60" s="120" t="e">
        <f t="shared" si="32"/>
        <v>#DIV/0!</v>
      </c>
      <c r="L60" s="120" t="e">
        <f t="shared" si="32"/>
        <v>#DIV/0!</v>
      </c>
      <c r="M60" s="120" t="e">
        <f t="shared" si="32"/>
        <v>#DIV/0!</v>
      </c>
      <c r="N60" s="120" t="e">
        <f t="shared" si="32"/>
        <v>#DIV/0!</v>
      </c>
      <c r="O60" s="120">
        <f t="shared" si="32"/>
        <v>0.77839866778951994</v>
      </c>
    </row>
    <row r="61" spans="1:16" x14ac:dyDescent="0.2">
      <c r="A61" s="98">
        <v>9</v>
      </c>
      <c r="B61" s="75" t="s">
        <v>237</v>
      </c>
      <c r="C61" s="76" t="s">
        <v>228</v>
      </c>
      <c r="D61" s="121">
        <f>+D21/D20</f>
        <v>0.70971244659276667</v>
      </c>
      <c r="E61" s="121">
        <f t="shared" ref="E61:O61" si="33">+E21/E20</f>
        <v>0.86055602361950667</v>
      </c>
      <c r="F61" s="121">
        <f t="shared" si="33"/>
        <v>0.92380449627767713</v>
      </c>
      <c r="G61" s="121">
        <f t="shared" si="33"/>
        <v>0</v>
      </c>
      <c r="H61" s="121" t="e">
        <f t="shared" si="33"/>
        <v>#DIV/0!</v>
      </c>
      <c r="I61" s="121" t="e">
        <f t="shared" si="33"/>
        <v>#DIV/0!</v>
      </c>
      <c r="J61" s="120" t="e">
        <f t="shared" si="33"/>
        <v>#DIV/0!</v>
      </c>
      <c r="K61" s="120" t="e">
        <f t="shared" si="33"/>
        <v>#DIV/0!</v>
      </c>
      <c r="L61" s="120" t="e">
        <f t="shared" si="33"/>
        <v>#DIV/0!</v>
      </c>
      <c r="M61" s="120" t="e">
        <f t="shared" si="33"/>
        <v>#DIV/0!</v>
      </c>
      <c r="N61" s="120" t="e">
        <f t="shared" si="33"/>
        <v>#DIV/0!</v>
      </c>
      <c r="O61" s="120">
        <f t="shared" si="33"/>
        <v>0.69127066080487265</v>
      </c>
    </row>
    <row r="62" spans="1:16" x14ac:dyDescent="0.2">
      <c r="A62" s="97">
        <v>10</v>
      </c>
      <c r="B62" s="79" t="s">
        <v>238</v>
      </c>
      <c r="C62" s="80" t="s">
        <v>228</v>
      </c>
      <c r="D62" s="121">
        <f>+D23/D22</f>
        <v>0.82729173804786027</v>
      </c>
      <c r="E62" s="121">
        <f t="shared" ref="E62:O62" si="34">+E23/E22</f>
        <v>0.97716934207261519</v>
      </c>
      <c r="F62" s="121">
        <f t="shared" si="34"/>
        <v>1.1570066601612774</v>
      </c>
      <c r="G62" s="121">
        <f t="shared" si="34"/>
        <v>0</v>
      </c>
      <c r="H62" s="121" t="e">
        <f t="shared" si="34"/>
        <v>#DIV/0!</v>
      </c>
      <c r="I62" s="121" t="e">
        <f t="shared" si="34"/>
        <v>#DIV/0!</v>
      </c>
      <c r="J62" s="120" t="e">
        <f t="shared" si="34"/>
        <v>#DIV/0!</v>
      </c>
      <c r="K62" s="120" t="e">
        <f t="shared" si="34"/>
        <v>#DIV/0!</v>
      </c>
      <c r="L62" s="120" t="e">
        <f t="shared" si="34"/>
        <v>#DIV/0!</v>
      </c>
      <c r="M62" s="120" t="e">
        <f t="shared" si="34"/>
        <v>#DIV/0!</v>
      </c>
      <c r="N62" s="120" t="e">
        <f t="shared" si="34"/>
        <v>#DIV/0!</v>
      </c>
      <c r="O62" s="120">
        <f t="shared" si="34"/>
        <v>0.8093213806943127</v>
      </c>
    </row>
    <row r="63" spans="1:16" x14ac:dyDescent="0.2">
      <c r="A63" s="98">
        <v>11</v>
      </c>
      <c r="B63" s="75" t="s">
        <v>239</v>
      </c>
      <c r="C63" s="76" t="s">
        <v>228</v>
      </c>
      <c r="D63" s="121">
        <f>+D25/D24</f>
        <v>0.8035175616736201</v>
      </c>
      <c r="E63" s="121">
        <f t="shared" ref="E63:O63" si="35">+E25/E24</f>
        <v>0.95315550919833225</v>
      </c>
      <c r="F63" s="121">
        <f t="shared" si="35"/>
        <v>1.0244091289509962</v>
      </c>
      <c r="G63" s="121">
        <f t="shared" si="35"/>
        <v>0</v>
      </c>
      <c r="H63" s="121" t="e">
        <f t="shared" si="35"/>
        <v>#DIV/0!</v>
      </c>
      <c r="I63" s="121" t="e">
        <f t="shared" si="35"/>
        <v>#DIV/0!</v>
      </c>
      <c r="J63" s="120" t="e">
        <f t="shared" si="35"/>
        <v>#DIV/0!</v>
      </c>
      <c r="K63" s="120" t="e">
        <f t="shared" si="35"/>
        <v>#DIV/0!</v>
      </c>
      <c r="L63" s="120" t="e">
        <f t="shared" si="35"/>
        <v>#DIV/0!</v>
      </c>
      <c r="M63" s="120" t="e">
        <f t="shared" si="35"/>
        <v>#DIV/0!</v>
      </c>
      <c r="N63" s="120" t="e">
        <f t="shared" si="35"/>
        <v>#DIV/0!</v>
      </c>
      <c r="O63" s="120">
        <f t="shared" si="35"/>
        <v>0.79361442160996365</v>
      </c>
    </row>
    <row r="64" spans="1:16" x14ac:dyDescent="0.2">
      <c r="A64" s="97">
        <v>12</v>
      </c>
      <c r="B64" s="79" t="s">
        <v>240</v>
      </c>
      <c r="C64" s="80" t="s">
        <v>228</v>
      </c>
      <c r="D64" s="121">
        <f t="shared" ref="D64:O64" si="36">+D27/D26</f>
        <v>0.76132907949029527</v>
      </c>
      <c r="E64" s="121">
        <f t="shared" si="36"/>
        <v>0.85316079144341406</v>
      </c>
      <c r="F64" s="121">
        <f t="shared" si="36"/>
        <v>0.80514651053015351</v>
      </c>
      <c r="G64" s="121">
        <f t="shared" si="36"/>
        <v>0</v>
      </c>
      <c r="H64" s="121" t="e">
        <f t="shared" si="36"/>
        <v>#DIV/0!</v>
      </c>
      <c r="I64" s="121" t="e">
        <f t="shared" si="36"/>
        <v>#DIV/0!</v>
      </c>
      <c r="J64" s="120" t="e">
        <f t="shared" si="36"/>
        <v>#DIV/0!</v>
      </c>
      <c r="K64" s="120" t="e">
        <f t="shared" si="36"/>
        <v>#DIV/0!</v>
      </c>
      <c r="L64" s="120" t="e">
        <f t="shared" si="36"/>
        <v>#DIV/0!</v>
      </c>
      <c r="M64" s="120" t="e">
        <f t="shared" si="36"/>
        <v>#DIV/0!</v>
      </c>
      <c r="N64" s="120" t="e">
        <f t="shared" si="36"/>
        <v>#DIV/0!</v>
      </c>
      <c r="O64" s="120">
        <f t="shared" si="36"/>
        <v>0.72820246289678059</v>
      </c>
    </row>
    <row r="65" spans="1:15" x14ac:dyDescent="0.2">
      <c r="A65" s="98">
        <v>13</v>
      </c>
      <c r="B65" s="75" t="s">
        <v>241</v>
      </c>
      <c r="C65" s="76" t="s">
        <v>228</v>
      </c>
      <c r="D65" s="121">
        <f t="shared" ref="D65:O65" si="37">+D29/D28</f>
        <v>0.80767638416380028</v>
      </c>
      <c r="E65" s="121">
        <f t="shared" si="37"/>
        <v>0.8678303086573661</v>
      </c>
      <c r="F65" s="121">
        <f t="shared" si="37"/>
        <v>0.84774664531584565</v>
      </c>
      <c r="G65" s="121">
        <f t="shared" si="37"/>
        <v>0</v>
      </c>
      <c r="H65" s="121" t="e">
        <f t="shared" si="37"/>
        <v>#DIV/0!</v>
      </c>
      <c r="I65" s="121" t="e">
        <f t="shared" si="37"/>
        <v>#DIV/0!</v>
      </c>
      <c r="J65" s="120" t="e">
        <f t="shared" si="37"/>
        <v>#DIV/0!</v>
      </c>
      <c r="K65" s="120" t="e">
        <f t="shared" si="37"/>
        <v>#DIV/0!</v>
      </c>
      <c r="L65" s="120" t="e">
        <f t="shared" si="37"/>
        <v>#DIV/0!</v>
      </c>
      <c r="M65" s="120" t="e">
        <f t="shared" si="37"/>
        <v>#DIV/0!</v>
      </c>
      <c r="N65" s="120" t="e">
        <f t="shared" si="37"/>
        <v>#DIV/0!</v>
      </c>
      <c r="O65" s="120">
        <f t="shared" si="37"/>
        <v>0.77128016326312421</v>
      </c>
    </row>
    <row r="66" spans="1:15" x14ac:dyDescent="0.2">
      <c r="A66" s="97">
        <v>14</v>
      </c>
      <c r="B66" s="79" t="s">
        <v>242</v>
      </c>
      <c r="C66" s="80" t="s">
        <v>228</v>
      </c>
      <c r="D66" s="121">
        <f t="shared" ref="D66:O66" si="38">+D31/D30</f>
        <v>0.79937073556452332</v>
      </c>
      <c r="E66" s="121">
        <f t="shared" si="38"/>
        <v>0.85729615268323378</v>
      </c>
      <c r="F66" s="121">
        <f t="shared" si="38"/>
        <v>0.83044949957437963</v>
      </c>
      <c r="G66" s="121">
        <f t="shared" si="38"/>
        <v>0</v>
      </c>
      <c r="H66" s="121" t="e">
        <f t="shared" si="38"/>
        <v>#DIV/0!</v>
      </c>
      <c r="I66" s="121" t="e">
        <f t="shared" si="38"/>
        <v>#DIV/0!</v>
      </c>
      <c r="J66" s="120" t="e">
        <f t="shared" si="38"/>
        <v>#DIV/0!</v>
      </c>
      <c r="K66" s="120" t="e">
        <f t="shared" si="38"/>
        <v>#DIV/0!</v>
      </c>
      <c r="L66" s="120" t="e">
        <f t="shared" si="38"/>
        <v>#DIV/0!</v>
      </c>
      <c r="M66" s="120" t="e">
        <f t="shared" si="38"/>
        <v>#DIV/0!</v>
      </c>
      <c r="N66" s="120" t="e">
        <f t="shared" si="38"/>
        <v>#DIV/0!</v>
      </c>
      <c r="O66" s="120">
        <f t="shared" si="38"/>
        <v>0.7819816523007318</v>
      </c>
    </row>
    <row r="67" spans="1:15" x14ac:dyDescent="0.2">
      <c r="A67" s="98">
        <v>15</v>
      </c>
      <c r="B67" s="75" t="s">
        <v>243</v>
      </c>
      <c r="C67" s="106" t="s">
        <v>228</v>
      </c>
      <c r="D67" s="121">
        <f t="shared" ref="D67:O67" si="39">+D33/D32</f>
        <v>0.78524154914646116</v>
      </c>
      <c r="E67" s="121">
        <f t="shared" si="39"/>
        <v>0.85798651596720166</v>
      </c>
      <c r="F67" s="121">
        <f t="shared" si="39"/>
        <v>0.82372880025152329</v>
      </c>
      <c r="G67" s="121">
        <f t="shared" si="39"/>
        <v>0</v>
      </c>
      <c r="H67" s="121" t="e">
        <f t="shared" si="39"/>
        <v>#DIV/0!</v>
      </c>
      <c r="I67" s="121" t="e">
        <f t="shared" si="39"/>
        <v>#DIV/0!</v>
      </c>
      <c r="J67" s="120" t="e">
        <f t="shared" si="39"/>
        <v>#DIV/0!</v>
      </c>
      <c r="K67" s="120" t="e">
        <f t="shared" si="39"/>
        <v>#DIV/0!</v>
      </c>
      <c r="L67" s="120" t="e">
        <f t="shared" si="39"/>
        <v>#DIV/0!</v>
      </c>
      <c r="M67" s="120" t="e">
        <f t="shared" si="39"/>
        <v>#DIV/0!</v>
      </c>
      <c r="N67" s="120" t="e">
        <f t="shared" si="39"/>
        <v>#DIV/0!</v>
      </c>
      <c r="O67" s="120">
        <f t="shared" si="39"/>
        <v>0.75676832265208194</v>
      </c>
    </row>
    <row r="68" spans="1:15" hidden="1" x14ac:dyDescent="0.2">
      <c r="A68" s="97">
        <v>16</v>
      </c>
      <c r="B68" s="79" t="s">
        <v>244</v>
      </c>
      <c r="C68" s="80" t="s">
        <v>245</v>
      </c>
      <c r="D68" s="107">
        <f t="shared" ref="D68:G68" si="40">+D13/D10</f>
        <v>0</v>
      </c>
      <c r="E68" s="107">
        <f t="shared" si="40"/>
        <v>0</v>
      </c>
      <c r="F68" s="107">
        <f t="shared" si="40"/>
        <v>0</v>
      </c>
      <c r="G68" s="107">
        <f t="shared" si="40"/>
        <v>0</v>
      </c>
      <c r="H68" s="107" t="e">
        <f t="shared" ref="H68:O68" si="41">+H13/H10</f>
        <v>#DIV/0!</v>
      </c>
      <c r="I68" s="107" t="e">
        <f t="shared" si="41"/>
        <v>#DIV/0!</v>
      </c>
      <c r="J68" s="107" t="e">
        <f t="shared" si="41"/>
        <v>#DIV/0!</v>
      </c>
      <c r="K68" s="107" t="e">
        <f t="shared" si="41"/>
        <v>#DIV/0!</v>
      </c>
      <c r="L68" s="107" t="e">
        <f t="shared" si="41"/>
        <v>#DIV/0!</v>
      </c>
      <c r="M68" s="107" t="e">
        <f t="shared" si="41"/>
        <v>#DIV/0!</v>
      </c>
      <c r="N68" s="107" t="e">
        <f t="shared" si="41"/>
        <v>#DIV/0!</v>
      </c>
      <c r="O68" s="107">
        <f t="shared" si="41"/>
        <v>0</v>
      </c>
    </row>
    <row r="69" spans="1:15" hidden="1" x14ac:dyDescent="0.2">
      <c r="A69" s="98">
        <v>17</v>
      </c>
      <c r="B69" s="75" t="s">
        <v>246</v>
      </c>
      <c r="C69" s="76" t="s">
        <v>193</v>
      </c>
      <c r="D69" s="108">
        <f t="shared" ref="D69:G69" si="42">+D11-D12-D13</f>
        <v>12227</v>
      </c>
      <c r="E69" s="108">
        <f t="shared" si="42"/>
        <v>17382</v>
      </c>
      <c r="F69" s="108">
        <f t="shared" si="42"/>
        <v>13050</v>
      </c>
      <c r="G69" s="108">
        <f t="shared" si="42"/>
        <v>15105</v>
      </c>
      <c r="H69" s="108">
        <f t="shared" ref="H69:O69" si="43">+H11-H12-H13</f>
        <v>0</v>
      </c>
      <c r="I69" s="108">
        <f t="shared" si="43"/>
        <v>0</v>
      </c>
      <c r="J69" s="108">
        <f t="shared" si="43"/>
        <v>0</v>
      </c>
      <c r="K69" s="108">
        <f t="shared" si="43"/>
        <v>0</v>
      </c>
      <c r="L69" s="108">
        <f t="shared" si="43"/>
        <v>0</v>
      </c>
      <c r="M69" s="108">
        <f t="shared" si="43"/>
        <v>0</v>
      </c>
      <c r="N69" s="108">
        <f t="shared" si="43"/>
        <v>0</v>
      </c>
      <c r="O69" s="108">
        <f t="shared" si="43"/>
        <v>12517</v>
      </c>
    </row>
    <row r="71" spans="1:15" x14ac:dyDescent="0.2">
      <c r="B71" s="150" t="s">
        <v>247</v>
      </c>
      <c r="C71" s="150"/>
      <c r="D71" s="156"/>
      <c r="E71" s="156"/>
      <c r="F71" s="156"/>
      <c r="G71" s="156"/>
    </row>
    <row r="87" spans="2:3" x14ac:dyDescent="0.2">
      <c r="B87" s="150" t="s">
        <v>248</v>
      </c>
      <c r="C87" s="150"/>
    </row>
    <row r="94" spans="2:3" ht="14.25" customHeight="1" x14ac:dyDescent="0.2"/>
    <row r="168" spans="5:10" x14ac:dyDescent="0.2">
      <c r="E168" s="73"/>
      <c r="F168" s="73"/>
      <c r="G168" s="73"/>
      <c r="H168" s="73"/>
      <c r="I168" s="73"/>
      <c r="J168" s="73"/>
    </row>
    <row r="171" spans="5:10" x14ac:dyDescent="0.2">
      <c r="F171" s="56" t="s">
        <v>262</v>
      </c>
    </row>
  </sheetData>
  <mergeCells count="9">
    <mergeCell ref="B87:C87"/>
    <mergeCell ref="A1:G1"/>
    <mergeCell ref="A2:B2"/>
    <mergeCell ref="A4:B4"/>
    <mergeCell ref="A52:B52"/>
    <mergeCell ref="B71:C71"/>
    <mergeCell ref="D71:G71"/>
    <mergeCell ref="E2:F2"/>
    <mergeCell ref="G2:K2"/>
  </mergeCells>
  <printOptions horizontalCentered="1"/>
  <pageMargins left="0" right="0" top="1.3779527559055118" bottom="0.39370078740157483" header="0.55118110236220474" footer="0.19685039370078741"/>
  <pageSetup scale="94" orientation="portrait" r:id="rId1"/>
  <headerFooter alignWithMargins="0"/>
  <ignoredErrors>
    <ignoredError sqref="D26:D33 D37:F37 G37:H37 F26:K33 I37:K37 L26:O33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X61"/>
  <sheetViews>
    <sheetView tabSelected="1" topLeftCell="A27"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3" width="9.140625" style="2" customWidth="1"/>
    <col min="4" max="4" width="9" style="2" bestFit="1" customWidth="1"/>
    <col min="5" max="5" width="8.7109375" style="2" customWidth="1"/>
    <col min="6" max="6" width="9.85546875" style="2" customWidth="1"/>
    <col min="7" max="7" width="9.140625" style="2" customWidth="1"/>
    <col min="8" max="8" width="9" style="2" customWidth="1"/>
    <col min="9" max="9" width="9.85546875" style="2" customWidth="1"/>
    <col min="10" max="10" width="9.28515625" style="2" customWidth="1"/>
    <col min="11" max="11" width="7.7109375" style="2" customWidth="1"/>
    <col min="12" max="12" width="8.28515625" style="2" customWidth="1"/>
    <col min="13" max="14" width="7.7109375" style="2" customWidth="1"/>
    <col min="15" max="15" width="10.140625" style="2" customWidth="1"/>
    <col min="16" max="16" width="6.140625" style="2" customWidth="1"/>
    <col min="17" max="18" width="6.140625" style="2" hidden="1" customWidth="1"/>
    <col min="19" max="19" width="6.140625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4.25" customHeight="1" x14ac:dyDescent="0.25">
      <c r="A1" s="195"/>
      <c r="B1" s="196"/>
      <c r="C1" s="196"/>
      <c r="D1" s="179" t="s">
        <v>251</v>
      </c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1"/>
    </row>
    <row r="2" spans="1:24" ht="13.5" customHeight="1" x14ac:dyDescent="0.25">
      <c r="A2" s="197"/>
      <c r="B2" s="198"/>
      <c r="C2" s="198"/>
      <c r="D2" s="308" t="s">
        <v>272</v>
      </c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10"/>
    </row>
    <row r="3" spans="1:24" ht="15.75" customHeight="1" x14ac:dyDescent="0.25">
      <c r="A3" s="197"/>
      <c r="B3" s="198"/>
      <c r="C3" s="198"/>
      <c r="D3" s="311" t="s">
        <v>20</v>
      </c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3"/>
    </row>
    <row r="4" spans="1:24" ht="12.75" customHeight="1" thickBot="1" x14ac:dyDescent="0.3">
      <c r="A4" s="199"/>
      <c r="B4" s="200"/>
      <c r="C4" s="200"/>
      <c r="D4" s="192" t="s">
        <v>269</v>
      </c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4"/>
    </row>
    <row r="5" spans="1:24" ht="13.5" customHeight="1" x14ac:dyDescent="0.25">
      <c r="A5" s="201" t="s">
        <v>0</v>
      </c>
      <c r="B5" s="202"/>
      <c r="C5" s="202"/>
      <c r="D5" s="202"/>
      <c r="E5" s="202"/>
      <c r="F5" s="202" t="str">
        <f>'SET SP Paicol'!J5</f>
        <v>GESTIÓN DE SERVICIOS PÚBLICOS - PAICOL</v>
      </c>
      <c r="G5" s="202"/>
      <c r="H5" s="202"/>
      <c r="I5" s="202"/>
      <c r="J5" s="202"/>
      <c r="K5" s="202"/>
      <c r="L5" s="202"/>
      <c r="M5" s="202"/>
      <c r="N5" s="202"/>
      <c r="O5" s="203"/>
    </row>
    <row r="6" spans="1:24" ht="15.75" customHeight="1" x14ac:dyDescent="0.25">
      <c r="A6" s="204" t="s">
        <v>1</v>
      </c>
      <c r="B6" s="205"/>
      <c r="C6" s="205"/>
      <c r="D6" s="205"/>
      <c r="E6" s="205"/>
      <c r="F6" s="206" t="str">
        <f>'SET SP Paicol'!$B8</f>
        <v>Eficiencia de Recaudo  Corriente</v>
      </c>
      <c r="G6" s="206"/>
      <c r="H6" s="207"/>
      <c r="I6" s="206"/>
      <c r="J6" s="206"/>
      <c r="K6" s="207"/>
      <c r="L6" s="206"/>
      <c r="M6" s="206"/>
      <c r="N6" s="206"/>
      <c r="O6" s="208"/>
    </row>
    <row r="7" spans="1:24" ht="15.75" customHeight="1" x14ac:dyDescent="0.25">
      <c r="A7" s="204" t="s">
        <v>55</v>
      </c>
      <c r="B7" s="205"/>
      <c r="C7" s="205"/>
      <c r="D7" s="205"/>
      <c r="E7" s="205"/>
      <c r="F7" s="223" t="str">
        <f>'SET SP Paicol'!F8</f>
        <v xml:space="preserve">Eficiencia </v>
      </c>
      <c r="G7" s="224"/>
      <c r="H7" s="224"/>
      <c r="I7" s="224"/>
      <c r="J7" s="224"/>
      <c r="K7" s="224"/>
      <c r="L7" s="224"/>
      <c r="M7" s="224"/>
      <c r="N7" s="224"/>
      <c r="O7" s="225"/>
    </row>
    <row r="8" spans="1:24" ht="17.25" customHeight="1" thickBot="1" x14ac:dyDescent="0.3">
      <c r="A8" s="209" t="s">
        <v>21</v>
      </c>
      <c r="B8" s="210"/>
      <c r="C8" s="210"/>
      <c r="D8" s="210"/>
      <c r="E8" s="210"/>
      <c r="F8" s="23" t="s">
        <v>93</v>
      </c>
      <c r="G8" s="211" t="str">
        <f>'SET SP Paicol'!A8</f>
        <v>IN01</v>
      </c>
      <c r="H8" s="212"/>
      <c r="I8" s="211"/>
      <c r="J8" s="211"/>
      <c r="K8" s="212"/>
      <c r="L8" s="211"/>
      <c r="M8" s="211"/>
      <c r="N8" s="211"/>
      <c r="O8" s="213"/>
    </row>
    <row r="9" spans="1:24" ht="12.75" customHeight="1" x14ac:dyDescent="0.25">
      <c r="A9" s="214" t="s">
        <v>22</v>
      </c>
      <c r="B9" s="215"/>
      <c r="C9" s="215"/>
      <c r="D9" s="215"/>
      <c r="E9" s="218" t="s">
        <v>23</v>
      </c>
      <c r="F9" s="218" t="s">
        <v>24</v>
      </c>
      <c r="G9" s="218"/>
      <c r="H9" s="218" t="s">
        <v>25</v>
      </c>
      <c r="I9" s="218" t="s">
        <v>26</v>
      </c>
      <c r="J9" s="218" t="s">
        <v>27</v>
      </c>
      <c r="K9" s="218"/>
      <c r="L9" s="220" t="s">
        <v>28</v>
      </c>
      <c r="M9" s="220"/>
      <c r="N9" s="220"/>
      <c r="O9" s="221"/>
    </row>
    <row r="10" spans="1:24" ht="46.5" customHeight="1" x14ac:dyDescent="0.25">
      <c r="A10" s="216"/>
      <c r="B10" s="217"/>
      <c r="C10" s="217"/>
      <c r="D10" s="217"/>
      <c r="E10" s="219"/>
      <c r="F10" s="219"/>
      <c r="G10" s="219"/>
      <c r="H10" s="219"/>
      <c r="I10" s="219"/>
      <c r="J10" s="219"/>
      <c r="K10" s="219"/>
      <c r="L10" s="217" t="s">
        <v>29</v>
      </c>
      <c r="M10" s="217"/>
      <c r="N10" s="217" t="s">
        <v>30</v>
      </c>
      <c r="O10" s="222"/>
    </row>
    <row r="11" spans="1:24" ht="47.25" customHeight="1" thickBot="1" x14ac:dyDescent="0.3">
      <c r="A11" s="226" t="str">
        <f>'SET SP Paicol'!$C8</f>
        <v>Medir la eficiencia en el recaudo corriente de la prestación de los servicios pubicos domiciliarios de Aguas del Huila.</v>
      </c>
      <c r="B11" s="227"/>
      <c r="C11" s="227"/>
      <c r="D11" s="227"/>
      <c r="E11" s="14" t="s">
        <v>35</v>
      </c>
      <c r="F11" s="227" t="str">
        <f>'SET SP Paicol'!$D8</f>
        <v>(Valor  Recaudado  Corriente Usuario Final / Valor  Facturado Corriente Usuario Final) x100%</v>
      </c>
      <c r="G11" s="227"/>
      <c r="H11" s="12">
        <f>$O18</f>
        <v>0.85</v>
      </c>
      <c r="I11" s="13" t="str">
        <f>'SET SP Paicol'!$E8</f>
        <v>Trimestral</v>
      </c>
      <c r="J11" s="228" t="s">
        <v>88</v>
      </c>
      <c r="K11" s="229"/>
      <c r="L11" s="229"/>
      <c r="M11" s="229"/>
      <c r="N11" s="229"/>
      <c r="O11" s="230"/>
    </row>
    <row r="12" spans="1:24" ht="13.5" customHeight="1" x14ac:dyDescent="0.25">
      <c r="A12" s="236" t="s">
        <v>38</v>
      </c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8"/>
    </row>
    <row r="13" spans="1:24" ht="21.75" customHeight="1" thickBot="1" x14ac:dyDescent="0.3">
      <c r="A13" s="239"/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1"/>
    </row>
    <row r="14" spans="1:24" ht="15" customHeight="1" thickBot="1" x14ac:dyDescent="0.3">
      <c r="A14" s="242" t="s">
        <v>31</v>
      </c>
      <c r="B14" s="243"/>
      <c r="C14" s="243"/>
      <c r="D14" s="243"/>
      <c r="E14" s="243"/>
      <c r="F14" s="243"/>
      <c r="G14" s="243"/>
      <c r="H14" s="243"/>
      <c r="I14" s="243"/>
      <c r="J14" s="243"/>
      <c r="K14" s="243"/>
      <c r="L14" s="243"/>
      <c r="M14" s="243"/>
      <c r="N14" s="243"/>
      <c r="O14" s="244"/>
      <c r="V14" s="7"/>
      <c r="W14" s="6"/>
      <c r="X14" s="6"/>
    </row>
    <row r="15" spans="1:24" ht="16.5" customHeight="1" x14ac:dyDescent="0.25">
      <c r="A15" s="245" t="s">
        <v>274</v>
      </c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7"/>
      <c r="V15" s="7"/>
      <c r="W15" s="8"/>
      <c r="X15" s="8"/>
    </row>
    <row r="16" spans="1:24" ht="16.5" customHeight="1" x14ac:dyDescent="0.25">
      <c r="A16" s="248" t="s">
        <v>32</v>
      </c>
      <c r="B16" s="249"/>
      <c r="C16" s="66" t="s">
        <v>8</v>
      </c>
      <c r="D16" s="66" t="s">
        <v>9</v>
      </c>
      <c r="E16" s="66" t="s">
        <v>10</v>
      </c>
      <c r="F16" s="66" t="s">
        <v>11</v>
      </c>
      <c r="G16" s="66" t="s">
        <v>12</v>
      </c>
      <c r="H16" s="66" t="s">
        <v>13</v>
      </c>
      <c r="I16" s="66" t="s">
        <v>14</v>
      </c>
      <c r="J16" s="66" t="s">
        <v>15</v>
      </c>
      <c r="K16" s="66" t="s">
        <v>16</v>
      </c>
      <c r="L16" s="66" t="s">
        <v>17</v>
      </c>
      <c r="M16" s="66" t="s">
        <v>18</v>
      </c>
      <c r="N16" s="66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57" t="s">
        <v>39</v>
      </c>
      <c r="B17" s="258"/>
      <c r="C17" s="109">
        <f t="shared" ref="C17:N17" si="0">$O$17</f>
        <v>0.8</v>
      </c>
      <c r="D17" s="109">
        <f t="shared" si="0"/>
        <v>0.8</v>
      </c>
      <c r="E17" s="109">
        <f t="shared" si="0"/>
        <v>0.8</v>
      </c>
      <c r="F17" s="109">
        <f t="shared" si="0"/>
        <v>0.8</v>
      </c>
      <c r="G17" s="109">
        <f t="shared" si="0"/>
        <v>0.8</v>
      </c>
      <c r="H17" s="109">
        <f t="shared" si="0"/>
        <v>0.8</v>
      </c>
      <c r="I17" s="109">
        <f t="shared" si="0"/>
        <v>0.8</v>
      </c>
      <c r="J17" s="109">
        <f t="shared" si="0"/>
        <v>0.8</v>
      </c>
      <c r="K17" s="109">
        <f t="shared" si="0"/>
        <v>0.8</v>
      </c>
      <c r="L17" s="109">
        <f t="shared" si="0"/>
        <v>0.8</v>
      </c>
      <c r="M17" s="109">
        <f t="shared" si="0"/>
        <v>0.8</v>
      </c>
      <c r="N17" s="109">
        <f t="shared" si="0"/>
        <v>0.8</v>
      </c>
      <c r="O17" s="110">
        <f>'SET SP Paicol'!J8</f>
        <v>0.8</v>
      </c>
      <c r="V17" s="7"/>
      <c r="W17" s="8"/>
      <c r="X17" s="8"/>
    </row>
    <row r="18" spans="1:24" ht="17.25" customHeight="1" x14ac:dyDescent="0.25">
      <c r="A18" s="257" t="s">
        <v>273</v>
      </c>
      <c r="B18" s="258"/>
      <c r="C18" s="109">
        <f t="shared" ref="C18:N18" si="1">$O$18</f>
        <v>0.85</v>
      </c>
      <c r="D18" s="109">
        <f t="shared" si="1"/>
        <v>0.85</v>
      </c>
      <c r="E18" s="109">
        <f t="shared" si="1"/>
        <v>0.85</v>
      </c>
      <c r="F18" s="109">
        <f t="shared" si="1"/>
        <v>0.85</v>
      </c>
      <c r="G18" s="109">
        <f t="shared" si="1"/>
        <v>0.85</v>
      </c>
      <c r="H18" s="109">
        <f t="shared" si="1"/>
        <v>0.85</v>
      </c>
      <c r="I18" s="109">
        <f t="shared" si="1"/>
        <v>0.85</v>
      </c>
      <c r="J18" s="109">
        <f t="shared" si="1"/>
        <v>0.85</v>
      </c>
      <c r="K18" s="109">
        <f t="shared" si="1"/>
        <v>0.85</v>
      </c>
      <c r="L18" s="109">
        <f t="shared" si="1"/>
        <v>0.85</v>
      </c>
      <c r="M18" s="109">
        <f t="shared" si="1"/>
        <v>0.85</v>
      </c>
      <c r="N18" s="109">
        <f t="shared" si="1"/>
        <v>0.85</v>
      </c>
      <c r="O18" s="110">
        <f>'SET SP Paicol'!K8</f>
        <v>0.85</v>
      </c>
      <c r="V18" s="7"/>
      <c r="W18" s="8"/>
      <c r="X18" s="8"/>
    </row>
    <row r="19" spans="1:24" ht="17.25" customHeight="1" x14ac:dyDescent="0.25">
      <c r="A19" s="261" t="s">
        <v>263</v>
      </c>
      <c r="B19" s="262"/>
      <c r="C19" s="10">
        <f t="shared" ref="C19:E19" si="2">IF((C21),C20/C21,"-")</f>
        <v>0.79128997038958748</v>
      </c>
      <c r="D19" s="10">
        <f t="shared" si="2"/>
        <v>0.84396313975296855</v>
      </c>
      <c r="E19" s="10">
        <f t="shared" si="2"/>
        <v>0.78726940478465612</v>
      </c>
      <c r="F19" s="10">
        <f>IF((F21),F20/F21,"-")</f>
        <v>0</v>
      </c>
      <c r="G19" s="10" t="str">
        <f t="shared" ref="G19:O19" si="3">IF((G21),G20/G21,"-")</f>
        <v>-</v>
      </c>
      <c r="H19" s="10" t="str">
        <f t="shared" si="3"/>
        <v>-</v>
      </c>
      <c r="I19" s="10" t="str">
        <f t="shared" si="3"/>
        <v>-</v>
      </c>
      <c r="J19" s="10" t="str">
        <f t="shared" si="3"/>
        <v>-</v>
      </c>
      <c r="K19" s="10" t="str">
        <f t="shared" si="3"/>
        <v>-</v>
      </c>
      <c r="L19" s="10" t="str">
        <f t="shared" si="3"/>
        <v>-</v>
      </c>
      <c r="M19" s="10" t="str">
        <f t="shared" si="3"/>
        <v>-</v>
      </c>
      <c r="N19" s="10">
        <f t="shared" si="3"/>
        <v>0.75859150881416448</v>
      </c>
      <c r="O19" s="11">
        <f t="shared" si="3"/>
        <v>0.63488854863806288</v>
      </c>
      <c r="V19" s="7"/>
      <c r="W19" s="8"/>
      <c r="X19" s="8"/>
    </row>
    <row r="20" spans="1:24" ht="23.25" customHeight="1" x14ac:dyDescent="0.25">
      <c r="A20" s="263" t="s">
        <v>37</v>
      </c>
      <c r="B20" s="31" t="s">
        <v>131</v>
      </c>
      <c r="C20" s="49">
        <f>PAICOL2020!D$15+PAICOL2020!D$17+PAICOL2020!D$19</f>
        <v>20768066</v>
      </c>
      <c r="D20" s="49">
        <f>PAICOL2020!E$15+PAICOL2020!E$17+PAICOL2020!E$19</f>
        <v>25985831</v>
      </c>
      <c r="E20" s="49">
        <f>PAICOL2020!F$15+PAICOL2020!F$17+PAICOL2020!F$19</f>
        <v>21264482</v>
      </c>
      <c r="F20" s="49">
        <f>PAICOL2020!G$15+PAICOL2020!G$17+PAICOL2020!G$19</f>
        <v>0</v>
      </c>
      <c r="G20" s="49">
        <f>PAICOL2020!H$15+PAICOL2020!H$17+PAICOL2020!H$19</f>
        <v>0</v>
      </c>
      <c r="H20" s="49">
        <f>PAICOL2020!I$15+PAICOL2020!I$17+PAICOL2020!I$19</f>
        <v>0</v>
      </c>
      <c r="I20" s="49">
        <f>PAICOL2020!J$15+PAICOL2020!J$17+PAICOL2020!J$19</f>
        <v>0</v>
      </c>
      <c r="J20" s="49">
        <f>PAICOL2020!K$15+PAICOL2020!K$17+PAICOL2020!K$19</f>
        <v>0</v>
      </c>
      <c r="K20" s="49">
        <f>PAICOL2020!L$15+PAICOL2020!L$17+PAICOL2020!L$19</f>
        <v>0</v>
      </c>
      <c r="L20" s="49">
        <f>PAICOL2020!M$15+PAICOL2020!M$17+PAICOL2020!M$19</f>
        <v>0</v>
      </c>
      <c r="M20" s="49">
        <f>PAICOL2020!N$15+PAICOL2020!N$17+PAICOL2020!N$19</f>
        <v>0</v>
      </c>
      <c r="N20" s="49">
        <f>PAICOL2020!O$15+PAICOL2020!O$17+PAICOL2020!O$19</f>
        <v>20085216</v>
      </c>
      <c r="O20" s="51">
        <f>SUM(C20:N20)</f>
        <v>88103595</v>
      </c>
      <c r="V20" s="7"/>
      <c r="W20" s="8"/>
      <c r="X20" s="8"/>
    </row>
    <row r="21" spans="1:24" ht="17.25" customHeight="1" x14ac:dyDescent="0.25">
      <c r="A21" s="263"/>
      <c r="B21" s="31" t="s">
        <v>130</v>
      </c>
      <c r="C21" s="49">
        <f>PAICOL2020!D$14+PAICOL2020!D$16+PAICOL2020!D$18</f>
        <v>26245835</v>
      </c>
      <c r="D21" s="49">
        <f>PAICOL2020!E$14+PAICOL2020!E$16+PAICOL2020!E$18</f>
        <v>30790244</v>
      </c>
      <c r="E21" s="49">
        <f>PAICOL2020!F$14+PAICOL2020!F$16+PAICOL2020!F$18</f>
        <v>27010426</v>
      </c>
      <c r="F21" s="49">
        <f>PAICOL2020!G$14+PAICOL2020!G$16+PAICOL2020!G$18</f>
        <v>28246685</v>
      </c>
      <c r="G21" s="49">
        <f>PAICOL2020!H$14+PAICOL2020!H$16+PAICOL2020!H$18</f>
        <v>0</v>
      </c>
      <c r="H21" s="49">
        <f>PAICOL2020!I$14+PAICOL2020!I$16+PAICOL2020!I$18</f>
        <v>0</v>
      </c>
      <c r="I21" s="49">
        <f>PAICOL2020!J$14+PAICOL2020!J$16+PAICOL2020!J$18</f>
        <v>0</v>
      </c>
      <c r="J21" s="49">
        <f>PAICOL2020!K$14+PAICOL2020!K$16+PAICOL2020!K$18</f>
        <v>0</v>
      </c>
      <c r="K21" s="49">
        <f>PAICOL2020!L$14+PAICOL2020!L$16+PAICOL2020!L$18</f>
        <v>0</v>
      </c>
      <c r="L21" s="49">
        <f>PAICOL2020!M$14+PAICOL2020!M$16+PAICOL2020!M$18</f>
        <v>0</v>
      </c>
      <c r="M21" s="49">
        <f>PAICOL2020!N$14+PAICOL2020!N$16+PAICOL2020!N$18</f>
        <v>0</v>
      </c>
      <c r="N21" s="49">
        <f>PAICOL2020!O$14+PAICOL2020!O$16+PAICOL2020!O$18</f>
        <v>26476985</v>
      </c>
      <c r="O21" s="51">
        <f>SUM(C21:N21)</f>
        <v>138770175</v>
      </c>
      <c r="V21" s="7"/>
      <c r="W21" s="8"/>
      <c r="X21" s="8"/>
    </row>
    <row r="22" spans="1:24" ht="17.25" customHeight="1" x14ac:dyDescent="0.25">
      <c r="A22" s="263"/>
      <c r="B22" s="3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/>
      <c r="V22" s="7"/>
      <c r="W22" s="8"/>
      <c r="X22" s="8"/>
    </row>
    <row r="23" spans="1:24" ht="18" customHeight="1" thickBot="1" x14ac:dyDescent="0.3">
      <c r="A23" s="264"/>
      <c r="B23" s="32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65" t="s">
        <v>34</v>
      </c>
      <c r="B24" s="266"/>
      <c r="C24" s="267"/>
      <c r="D24" s="254" t="str">
        <f>'SET SP Paicol'!$G8</f>
        <v>Entre 80% y 100%</v>
      </c>
      <c r="E24" s="255"/>
      <c r="F24" s="255"/>
      <c r="G24" s="256"/>
      <c r="H24" s="254" t="str">
        <f>'SET SP Paicol'!$H8</f>
        <v>Entre 60% y 79%</v>
      </c>
      <c r="I24" s="255"/>
      <c r="J24" s="255"/>
      <c r="K24" s="256"/>
      <c r="L24" s="254" t="str">
        <f>'SET SP Paicol'!$I8</f>
        <v>Menor al 59%</v>
      </c>
      <c r="M24" s="259"/>
      <c r="N24" s="259"/>
      <c r="O24" s="260"/>
      <c r="V24" s="7"/>
      <c r="W24" s="8"/>
      <c r="X24" s="8"/>
    </row>
    <row r="25" spans="1:24" ht="33" customHeight="1" thickBot="1" x14ac:dyDescent="0.3">
      <c r="A25" s="268"/>
      <c r="B25" s="269"/>
      <c r="C25" s="269"/>
      <c r="D25" s="270" t="s">
        <v>7</v>
      </c>
      <c r="E25" s="270"/>
      <c r="F25" s="270"/>
      <c r="G25" s="270"/>
      <c r="H25" s="271" t="s">
        <v>61</v>
      </c>
      <c r="I25" s="271"/>
      <c r="J25" s="271"/>
      <c r="K25" s="271"/>
      <c r="L25" s="231" t="s">
        <v>62</v>
      </c>
      <c r="M25" s="231"/>
      <c r="N25" s="231"/>
      <c r="O25" s="232"/>
      <c r="V25" s="7"/>
      <c r="W25" s="8"/>
      <c r="X25" s="8"/>
    </row>
    <row r="26" spans="1:24" ht="15.75" customHeight="1" thickBot="1" x14ac:dyDescent="0.3">
      <c r="A26" s="233" t="s">
        <v>36</v>
      </c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5"/>
      <c r="V26" s="7"/>
      <c r="W26" s="8"/>
      <c r="X26" s="8"/>
    </row>
    <row r="27" spans="1:24" ht="264.75" customHeight="1" thickBot="1" x14ac:dyDescent="0.3">
      <c r="A27" s="251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3"/>
      <c r="V27" s="7"/>
    </row>
    <row r="28" spans="1:24" ht="15" customHeight="1" x14ac:dyDescent="0.25">
      <c r="A28" s="188" t="s">
        <v>58</v>
      </c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90" t="s">
        <v>60</v>
      </c>
      <c r="O28" s="191"/>
    </row>
    <row r="29" spans="1:24" ht="15" customHeight="1" x14ac:dyDescent="0.25">
      <c r="A29" s="182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6">
        <v>45658</v>
      </c>
      <c r="O29" s="187"/>
    </row>
    <row r="30" spans="1:24" ht="15" customHeight="1" x14ac:dyDescent="0.25">
      <c r="A30" s="182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6">
        <v>45689</v>
      </c>
      <c r="O30" s="187"/>
    </row>
    <row r="31" spans="1:24" ht="15" customHeight="1" x14ac:dyDescent="0.25">
      <c r="A31" s="182"/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6">
        <v>45717</v>
      </c>
      <c r="O31" s="187"/>
    </row>
    <row r="32" spans="1:24" ht="15" customHeight="1" x14ac:dyDescent="0.25">
      <c r="A32" s="182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6">
        <v>45748</v>
      </c>
      <c r="O32" s="187"/>
    </row>
    <row r="33" spans="1:17" ht="15" customHeight="1" x14ac:dyDescent="0.25">
      <c r="A33" s="182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6">
        <v>45778</v>
      </c>
      <c r="O33" s="187"/>
    </row>
    <row r="34" spans="1:17" ht="15" customHeight="1" x14ac:dyDescent="0.25">
      <c r="A34" s="182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6">
        <v>45809</v>
      </c>
      <c r="O34" s="187"/>
    </row>
    <row r="35" spans="1:17" ht="15" customHeight="1" x14ac:dyDescent="0.25">
      <c r="A35" s="182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6">
        <v>45839</v>
      </c>
      <c r="O35" s="187"/>
    </row>
    <row r="36" spans="1:17" ht="15" customHeight="1" x14ac:dyDescent="0.25">
      <c r="A36" s="182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6">
        <v>45870</v>
      </c>
      <c r="O36" s="187"/>
    </row>
    <row r="37" spans="1:17" ht="15" customHeight="1" x14ac:dyDescent="0.25">
      <c r="A37" s="182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6">
        <v>45901</v>
      </c>
      <c r="O37" s="187"/>
    </row>
    <row r="38" spans="1:17" ht="15" customHeight="1" x14ac:dyDescent="0.25">
      <c r="A38" s="182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6">
        <v>45931</v>
      </c>
      <c r="O38" s="187"/>
    </row>
    <row r="39" spans="1:17" ht="15" customHeight="1" x14ac:dyDescent="0.25">
      <c r="A39" s="182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6">
        <v>45962</v>
      </c>
      <c r="O39" s="187"/>
    </row>
    <row r="40" spans="1:17" ht="15" customHeight="1" thickBot="1" x14ac:dyDescent="0.3">
      <c r="A40" s="182"/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6">
        <v>45992</v>
      </c>
      <c r="O40" s="187"/>
    </row>
    <row r="41" spans="1:17" ht="19.5" customHeight="1" x14ac:dyDescent="0.25">
      <c r="A41" s="188" t="s">
        <v>59</v>
      </c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90" t="s">
        <v>60</v>
      </c>
      <c r="O41" s="191"/>
    </row>
    <row r="42" spans="1:17" ht="20.25" customHeight="1" x14ac:dyDescent="0.25">
      <c r="A42" s="182"/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4"/>
      <c r="O42" s="185"/>
    </row>
    <row r="43" spans="1:17" ht="21" customHeight="1" thickBot="1" x14ac:dyDescent="0.3">
      <c r="A43" s="182"/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4"/>
      <c r="O43" s="185"/>
    </row>
    <row r="44" spans="1:17" ht="7.5" customHeight="1" x14ac:dyDescent="0.25">
      <c r="A44" s="250"/>
      <c r="B44" s="250"/>
      <c r="C44" s="250"/>
      <c r="D44" s="250"/>
      <c r="E44" s="250"/>
      <c r="F44" s="250"/>
      <c r="G44" s="250"/>
      <c r="H44" s="250"/>
      <c r="I44" s="250"/>
      <c r="J44" s="250"/>
      <c r="K44" s="250"/>
      <c r="L44" s="250"/>
      <c r="M44" s="250"/>
      <c r="N44" s="250"/>
      <c r="O44" s="250"/>
    </row>
    <row r="46" spans="1:17" ht="14.25" x14ac:dyDescent="0.2">
      <c r="Q46" s="40" t="s">
        <v>80</v>
      </c>
    </row>
    <row r="47" spans="1:17" ht="14.25" x14ac:dyDescent="0.2">
      <c r="Q47" s="40" t="s">
        <v>81</v>
      </c>
    </row>
    <row r="48" spans="1:17" ht="14.25" x14ac:dyDescent="0.2">
      <c r="Q48" s="40" t="s">
        <v>82</v>
      </c>
    </row>
    <row r="49" spans="17:17" ht="14.25" x14ac:dyDescent="0.2">
      <c r="Q49" s="40" t="s">
        <v>83</v>
      </c>
    </row>
    <row r="50" spans="17:17" ht="14.25" x14ac:dyDescent="0.2">
      <c r="Q50" s="40" t="s">
        <v>84</v>
      </c>
    </row>
    <row r="51" spans="17:17" ht="14.25" x14ac:dyDescent="0.2">
      <c r="Q51" s="40" t="s">
        <v>85</v>
      </c>
    </row>
    <row r="52" spans="17:17" ht="14.25" x14ac:dyDescent="0.2">
      <c r="Q52" s="40" t="s">
        <v>86</v>
      </c>
    </row>
    <row r="53" spans="17:17" ht="14.25" x14ac:dyDescent="0.2">
      <c r="Q53" s="40" t="s">
        <v>87</v>
      </c>
    </row>
    <row r="54" spans="17:17" ht="14.25" x14ac:dyDescent="0.2">
      <c r="Q54" s="40" t="s">
        <v>88</v>
      </c>
    </row>
    <row r="55" spans="17:17" ht="14.25" x14ac:dyDescent="0.2">
      <c r="Q55" s="40" t="s">
        <v>89</v>
      </c>
    </row>
    <row r="56" spans="17:17" ht="14.25" x14ac:dyDescent="0.2">
      <c r="Q56" s="40" t="s">
        <v>90</v>
      </c>
    </row>
    <row r="57" spans="17:17" ht="14.25" x14ac:dyDescent="0.2">
      <c r="Q57" s="40" t="s">
        <v>91</v>
      </c>
    </row>
    <row r="58" spans="17:17" ht="14.25" x14ac:dyDescent="0.2">
      <c r="Q58" s="40" t="s">
        <v>92</v>
      </c>
    </row>
    <row r="60" spans="17:17" x14ac:dyDescent="0.25">
      <c r="Q60" s="9">
        <v>0.85</v>
      </c>
    </row>
    <row r="61" spans="17:17" x14ac:dyDescent="0.25">
      <c r="Q61" s="9">
        <v>0.9</v>
      </c>
    </row>
  </sheetData>
  <mergeCells count="76">
    <mergeCell ref="A44:O44"/>
    <mergeCell ref="A27:O27"/>
    <mergeCell ref="D24:G24"/>
    <mergeCell ref="A17:B17"/>
    <mergeCell ref="L24:O24"/>
    <mergeCell ref="H24:K24"/>
    <mergeCell ref="A18:B18"/>
    <mergeCell ref="A19:B19"/>
    <mergeCell ref="A20:A23"/>
    <mergeCell ref="A24:C25"/>
    <mergeCell ref="D25:G25"/>
    <mergeCell ref="H25:K25"/>
    <mergeCell ref="A41:M41"/>
    <mergeCell ref="N41:O41"/>
    <mergeCell ref="A42:M42"/>
    <mergeCell ref="N42:O42"/>
    <mergeCell ref="A11:D11"/>
    <mergeCell ref="F11:G11"/>
    <mergeCell ref="J11:O11"/>
    <mergeCell ref="L25:O25"/>
    <mergeCell ref="A26:O26"/>
    <mergeCell ref="A12:O12"/>
    <mergeCell ref="A13:O13"/>
    <mergeCell ref="A14:O14"/>
    <mergeCell ref="A15:O15"/>
    <mergeCell ref="A16:B16"/>
    <mergeCell ref="J9:K10"/>
    <mergeCell ref="L9:O9"/>
    <mergeCell ref="L10:M10"/>
    <mergeCell ref="A7:E7"/>
    <mergeCell ref="N10:O10"/>
    <mergeCell ref="F7:O7"/>
    <mergeCell ref="A34:M34"/>
    <mergeCell ref="N34:O34"/>
    <mergeCell ref="D1:O1"/>
    <mergeCell ref="D4:O4"/>
    <mergeCell ref="A1:C4"/>
    <mergeCell ref="A5:E5"/>
    <mergeCell ref="F5:O5"/>
    <mergeCell ref="A6:E6"/>
    <mergeCell ref="F6:O6"/>
    <mergeCell ref="A8:E8"/>
    <mergeCell ref="G8:O8"/>
    <mergeCell ref="A9:D10"/>
    <mergeCell ref="E9:E10"/>
    <mergeCell ref="F9:G10"/>
    <mergeCell ref="H9:H10"/>
    <mergeCell ref="I9:I10"/>
    <mergeCell ref="A31:M31"/>
    <mergeCell ref="N31:O31"/>
    <mergeCell ref="A32:M32"/>
    <mergeCell ref="N32:O32"/>
    <mergeCell ref="A33:M33"/>
    <mergeCell ref="N33:O33"/>
    <mergeCell ref="A28:M28"/>
    <mergeCell ref="N28:O28"/>
    <mergeCell ref="A29:M29"/>
    <mergeCell ref="N29:O29"/>
    <mergeCell ref="A30:M30"/>
    <mergeCell ref="N30:O30"/>
    <mergeCell ref="D2:O2"/>
    <mergeCell ref="D3:O3"/>
    <mergeCell ref="A43:M43"/>
    <mergeCell ref="N43:O43"/>
    <mergeCell ref="A35:M35"/>
    <mergeCell ref="N35:O35"/>
    <mergeCell ref="A39:M39"/>
    <mergeCell ref="N39:O39"/>
    <mergeCell ref="A40:M40"/>
    <mergeCell ref="N40:O40"/>
    <mergeCell ref="A36:M36"/>
    <mergeCell ref="N36:O36"/>
    <mergeCell ref="A37:M37"/>
    <mergeCell ref="N37:O37"/>
    <mergeCell ref="A38:M38"/>
    <mergeCell ref="N38:O38"/>
  </mergeCells>
  <dataValidations count="1">
    <dataValidation type="list" allowBlank="1" showInputMessage="1" showErrorMessage="1" sqref="J11:O11" xr:uid="{00000000-0002-0000-0100-000000000000}">
      <formula1>$Q$46:$Q$58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X61"/>
  <sheetViews>
    <sheetView topLeftCell="A27"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3" width="9.85546875" style="2" customWidth="1"/>
    <col min="4" max="4" width="9.5703125" style="2" customWidth="1"/>
    <col min="5" max="5" width="10" style="2" customWidth="1"/>
    <col min="6" max="6" width="8.85546875" style="2" customWidth="1"/>
    <col min="7" max="7" width="9.140625" style="2" customWidth="1"/>
    <col min="8" max="8" width="8.7109375" style="2" customWidth="1"/>
    <col min="9" max="9" width="8.85546875" style="2" customWidth="1"/>
    <col min="10" max="10" width="9" style="2" bestFit="1" customWidth="1"/>
    <col min="11" max="11" width="7.7109375" style="2" customWidth="1"/>
    <col min="12" max="12" width="8.28515625" style="2" customWidth="1"/>
    <col min="13" max="14" width="7.7109375" style="2" customWidth="1"/>
    <col min="15" max="15" width="10.7109375" style="2" customWidth="1"/>
    <col min="16" max="16" width="7.140625" style="2" customWidth="1"/>
    <col min="17" max="18" width="7.140625" style="2" hidden="1" customWidth="1"/>
    <col min="19" max="19" width="7.140625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3.5" customHeight="1" x14ac:dyDescent="0.25">
      <c r="A1" s="195"/>
      <c r="B1" s="196"/>
      <c r="C1" s="196"/>
      <c r="D1" s="179" t="s">
        <v>251</v>
      </c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1"/>
    </row>
    <row r="2" spans="1:24" ht="12" customHeight="1" x14ac:dyDescent="0.25">
      <c r="A2" s="197"/>
      <c r="B2" s="198"/>
      <c r="C2" s="198"/>
      <c r="D2" s="308" t="s">
        <v>272</v>
      </c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10"/>
    </row>
    <row r="3" spans="1:24" ht="15.75" customHeight="1" x14ac:dyDescent="0.25">
      <c r="A3" s="197"/>
      <c r="B3" s="198"/>
      <c r="C3" s="198"/>
      <c r="D3" s="311" t="s">
        <v>20</v>
      </c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3"/>
    </row>
    <row r="4" spans="1:24" ht="12" customHeight="1" thickBot="1" x14ac:dyDescent="0.3">
      <c r="A4" s="199"/>
      <c r="B4" s="200"/>
      <c r="C4" s="200"/>
      <c r="D4" s="192" t="s">
        <v>269</v>
      </c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4"/>
    </row>
    <row r="5" spans="1:24" ht="13.5" customHeight="1" x14ac:dyDescent="0.25">
      <c r="A5" s="201" t="s">
        <v>0</v>
      </c>
      <c r="B5" s="202"/>
      <c r="C5" s="202"/>
      <c r="D5" s="202"/>
      <c r="E5" s="202"/>
      <c r="F5" s="202" t="str">
        <f>'SET SP Paicol'!J5</f>
        <v>GESTIÓN DE SERVICIOS PÚBLICOS - PAICOL</v>
      </c>
      <c r="G5" s="202"/>
      <c r="H5" s="202"/>
      <c r="I5" s="202"/>
      <c r="J5" s="202"/>
      <c r="K5" s="202"/>
      <c r="L5" s="202"/>
      <c r="M5" s="202"/>
      <c r="N5" s="202"/>
      <c r="O5" s="203"/>
    </row>
    <row r="6" spans="1:24" ht="15.75" customHeight="1" x14ac:dyDescent="0.25">
      <c r="A6" s="204" t="s">
        <v>1</v>
      </c>
      <c r="B6" s="205"/>
      <c r="C6" s="205"/>
      <c r="D6" s="205"/>
      <c r="E6" s="205"/>
      <c r="F6" s="206" t="str">
        <f>'SET SP Paicol'!$B9</f>
        <v>Eficiencia de Recaudo Total</v>
      </c>
      <c r="G6" s="206"/>
      <c r="H6" s="206"/>
      <c r="I6" s="206"/>
      <c r="J6" s="206"/>
      <c r="K6" s="206"/>
      <c r="L6" s="206"/>
      <c r="M6" s="206"/>
      <c r="N6" s="206"/>
      <c r="O6" s="272"/>
    </row>
    <row r="7" spans="1:24" ht="15.75" customHeight="1" x14ac:dyDescent="0.25">
      <c r="A7" s="204" t="s">
        <v>55</v>
      </c>
      <c r="B7" s="205"/>
      <c r="C7" s="205"/>
      <c r="D7" s="205"/>
      <c r="E7" s="205"/>
      <c r="F7" s="223" t="str">
        <f>'SET SP Paicol'!F9</f>
        <v xml:space="preserve">Eficiencia </v>
      </c>
      <c r="G7" s="224"/>
      <c r="H7" s="224"/>
      <c r="I7" s="224"/>
      <c r="J7" s="224"/>
      <c r="K7" s="224"/>
      <c r="L7" s="224"/>
      <c r="M7" s="224"/>
      <c r="N7" s="224"/>
      <c r="O7" s="225"/>
    </row>
    <row r="8" spans="1:24" ht="17.25" customHeight="1" thickBot="1" x14ac:dyDescent="0.3">
      <c r="A8" s="209" t="s">
        <v>21</v>
      </c>
      <c r="B8" s="210"/>
      <c r="C8" s="210"/>
      <c r="D8" s="210"/>
      <c r="E8" s="210"/>
      <c r="F8" s="23" t="s">
        <v>93</v>
      </c>
      <c r="G8" s="211" t="str">
        <f>'SET SP Paicol'!A9</f>
        <v>IN02</v>
      </c>
      <c r="H8" s="211"/>
      <c r="I8" s="211"/>
      <c r="J8" s="211"/>
      <c r="K8" s="211"/>
      <c r="L8" s="211"/>
      <c r="M8" s="211"/>
      <c r="N8" s="211"/>
      <c r="O8" s="276"/>
    </row>
    <row r="9" spans="1:24" ht="12.75" customHeight="1" x14ac:dyDescent="0.25">
      <c r="A9" s="214" t="s">
        <v>22</v>
      </c>
      <c r="B9" s="215"/>
      <c r="C9" s="215"/>
      <c r="D9" s="215"/>
      <c r="E9" s="218" t="s">
        <v>23</v>
      </c>
      <c r="F9" s="218" t="s">
        <v>24</v>
      </c>
      <c r="G9" s="218"/>
      <c r="H9" s="218" t="s">
        <v>25</v>
      </c>
      <c r="I9" s="218" t="s">
        <v>26</v>
      </c>
      <c r="J9" s="218" t="s">
        <v>27</v>
      </c>
      <c r="K9" s="218"/>
      <c r="L9" s="220" t="s">
        <v>28</v>
      </c>
      <c r="M9" s="220"/>
      <c r="N9" s="220"/>
      <c r="O9" s="221"/>
    </row>
    <row r="10" spans="1:24" ht="46.5" customHeight="1" x14ac:dyDescent="0.25">
      <c r="A10" s="216"/>
      <c r="B10" s="217"/>
      <c r="C10" s="217"/>
      <c r="D10" s="217"/>
      <c r="E10" s="219"/>
      <c r="F10" s="219"/>
      <c r="G10" s="219"/>
      <c r="H10" s="219"/>
      <c r="I10" s="219"/>
      <c r="J10" s="219"/>
      <c r="K10" s="219"/>
      <c r="L10" s="217" t="s">
        <v>29</v>
      </c>
      <c r="M10" s="217"/>
      <c r="N10" s="217" t="s">
        <v>30</v>
      </c>
      <c r="O10" s="222"/>
    </row>
    <row r="11" spans="1:24" ht="47.25" customHeight="1" thickBot="1" x14ac:dyDescent="0.3">
      <c r="A11" s="226" t="str">
        <f>'SET SP Paicol'!$C9</f>
        <v>Medir la eficiencia en el recaudo total de la prestación de los servicios pubicos domiciliarios de Aguas del Huila.</v>
      </c>
      <c r="B11" s="227"/>
      <c r="C11" s="227"/>
      <c r="D11" s="227"/>
      <c r="E11" s="14" t="s">
        <v>35</v>
      </c>
      <c r="F11" s="227" t="str">
        <f>'SET SP Paicol'!$D9</f>
        <v>(Valor  Recaudado  Total Usuario Final / Valor  Facturado TotalUsuario Final) x100%</v>
      </c>
      <c r="G11" s="227"/>
      <c r="H11" s="12">
        <f>$O18</f>
        <v>0.8</v>
      </c>
      <c r="I11" s="13" t="str">
        <f>'SET SP Paicol'!$E9</f>
        <v>Trimestral</v>
      </c>
      <c r="J11" s="228" t="s">
        <v>88</v>
      </c>
      <c r="K11" s="229"/>
      <c r="L11" s="229"/>
      <c r="M11" s="229"/>
      <c r="N11" s="229"/>
      <c r="O11" s="230"/>
    </row>
    <row r="12" spans="1:24" ht="13.5" customHeight="1" x14ac:dyDescent="0.25">
      <c r="A12" s="236" t="s">
        <v>38</v>
      </c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8"/>
    </row>
    <row r="13" spans="1:24" ht="35.25" customHeight="1" thickBot="1" x14ac:dyDescent="0.3">
      <c r="A13" s="239"/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1"/>
    </row>
    <row r="14" spans="1:24" ht="15" customHeight="1" thickBot="1" x14ac:dyDescent="0.3">
      <c r="A14" s="242" t="s">
        <v>31</v>
      </c>
      <c r="B14" s="243"/>
      <c r="C14" s="243"/>
      <c r="D14" s="243"/>
      <c r="E14" s="243"/>
      <c r="F14" s="243"/>
      <c r="G14" s="243"/>
      <c r="H14" s="243"/>
      <c r="I14" s="243"/>
      <c r="J14" s="243"/>
      <c r="K14" s="243"/>
      <c r="L14" s="243"/>
      <c r="M14" s="243"/>
      <c r="N14" s="243"/>
      <c r="O14" s="244"/>
      <c r="V14" s="7"/>
      <c r="W14" s="6"/>
      <c r="X14" s="6"/>
    </row>
    <row r="15" spans="1:24" ht="16.5" customHeight="1" x14ac:dyDescent="0.25">
      <c r="A15" s="245" t="s">
        <v>267</v>
      </c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7"/>
      <c r="V15" s="7"/>
      <c r="W15" s="8"/>
      <c r="X15" s="8"/>
    </row>
    <row r="16" spans="1:24" ht="16.5" customHeight="1" x14ac:dyDescent="0.25">
      <c r="A16" s="248" t="s">
        <v>32</v>
      </c>
      <c r="B16" s="249"/>
      <c r="C16" s="66" t="s">
        <v>8</v>
      </c>
      <c r="D16" s="66" t="s">
        <v>9</v>
      </c>
      <c r="E16" s="66" t="s">
        <v>10</v>
      </c>
      <c r="F16" s="66" t="s">
        <v>11</v>
      </c>
      <c r="G16" s="66" t="s">
        <v>12</v>
      </c>
      <c r="H16" s="66" t="s">
        <v>13</v>
      </c>
      <c r="I16" s="66" t="s">
        <v>14</v>
      </c>
      <c r="J16" s="66" t="s">
        <v>15</v>
      </c>
      <c r="K16" s="66" t="s">
        <v>16</v>
      </c>
      <c r="L16" s="66" t="s">
        <v>17</v>
      </c>
      <c r="M16" s="66" t="s">
        <v>18</v>
      </c>
      <c r="N16" s="66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57" t="s">
        <v>39</v>
      </c>
      <c r="B17" s="258"/>
      <c r="C17" s="54">
        <f t="shared" ref="C17:N17" si="0">$O$17</f>
        <v>0.79</v>
      </c>
      <c r="D17" s="54">
        <f t="shared" si="0"/>
        <v>0.79</v>
      </c>
      <c r="E17" s="54">
        <f t="shared" si="0"/>
        <v>0.79</v>
      </c>
      <c r="F17" s="54">
        <f t="shared" si="0"/>
        <v>0.79</v>
      </c>
      <c r="G17" s="54">
        <f t="shared" si="0"/>
        <v>0.79</v>
      </c>
      <c r="H17" s="54">
        <f t="shared" si="0"/>
        <v>0.79</v>
      </c>
      <c r="I17" s="54">
        <f t="shared" si="0"/>
        <v>0.79</v>
      </c>
      <c r="J17" s="54">
        <f t="shared" si="0"/>
        <v>0.79</v>
      </c>
      <c r="K17" s="54">
        <f t="shared" si="0"/>
        <v>0.79</v>
      </c>
      <c r="L17" s="54">
        <f t="shared" si="0"/>
        <v>0.79</v>
      </c>
      <c r="M17" s="54">
        <f t="shared" si="0"/>
        <v>0.79</v>
      </c>
      <c r="N17" s="54">
        <f t="shared" si="0"/>
        <v>0.79</v>
      </c>
      <c r="O17" s="110">
        <f>'SET SP Paicol'!J9</f>
        <v>0.79</v>
      </c>
      <c r="V17" s="7"/>
      <c r="W17" s="8"/>
      <c r="X17" s="8"/>
    </row>
    <row r="18" spans="1:24" ht="17.25" customHeight="1" x14ac:dyDescent="0.25">
      <c r="A18" s="257" t="s">
        <v>268</v>
      </c>
      <c r="B18" s="258"/>
      <c r="C18" s="54">
        <f t="shared" ref="C18:N18" si="1">$O$18</f>
        <v>0.8</v>
      </c>
      <c r="D18" s="54">
        <f t="shared" si="1"/>
        <v>0.8</v>
      </c>
      <c r="E18" s="54">
        <f t="shared" si="1"/>
        <v>0.8</v>
      </c>
      <c r="F18" s="54">
        <f t="shared" si="1"/>
        <v>0.8</v>
      </c>
      <c r="G18" s="54">
        <f t="shared" si="1"/>
        <v>0.8</v>
      </c>
      <c r="H18" s="54">
        <f t="shared" si="1"/>
        <v>0.8</v>
      </c>
      <c r="I18" s="54">
        <f t="shared" si="1"/>
        <v>0.8</v>
      </c>
      <c r="J18" s="54">
        <f t="shared" si="1"/>
        <v>0.8</v>
      </c>
      <c r="K18" s="54">
        <f t="shared" si="1"/>
        <v>0.8</v>
      </c>
      <c r="L18" s="54">
        <f t="shared" si="1"/>
        <v>0.8</v>
      </c>
      <c r="M18" s="54">
        <f t="shared" si="1"/>
        <v>0.8</v>
      </c>
      <c r="N18" s="54">
        <f t="shared" si="1"/>
        <v>0.8</v>
      </c>
      <c r="O18" s="110">
        <f>'SET SP Paicol'!K9</f>
        <v>0.8</v>
      </c>
      <c r="V18" s="7"/>
      <c r="W18" s="8"/>
      <c r="X18" s="8"/>
    </row>
    <row r="19" spans="1:24" ht="17.25" customHeight="1" x14ac:dyDescent="0.25">
      <c r="A19" s="261" t="s">
        <v>263</v>
      </c>
      <c r="B19" s="262"/>
      <c r="C19" s="10">
        <f t="shared" ref="C19:E19" si="2">IF((C21),C20/C21,"-")</f>
        <v>0.78524154914646116</v>
      </c>
      <c r="D19" s="10">
        <f t="shared" si="2"/>
        <v>0.85798651596720166</v>
      </c>
      <c r="E19" s="10">
        <f t="shared" si="2"/>
        <v>0.82372880025152329</v>
      </c>
      <c r="F19" s="10">
        <f>IF((F21),F20/F21,"-")</f>
        <v>0</v>
      </c>
      <c r="G19" s="10" t="str">
        <f t="shared" ref="G19:O19" si="3">IF((G21),G20/G21,"-")</f>
        <v>-</v>
      </c>
      <c r="H19" s="10" t="str">
        <f t="shared" si="3"/>
        <v>-</v>
      </c>
      <c r="I19" s="10" t="str">
        <f t="shared" si="3"/>
        <v>-</v>
      </c>
      <c r="J19" s="10" t="str">
        <f t="shared" si="3"/>
        <v>-</v>
      </c>
      <c r="K19" s="10" t="str">
        <f t="shared" si="3"/>
        <v>-</v>
      </c>
      <c r="L19" s="10" t="str">
        <f t="shared" si="3"/>
        <v>-</v>
      </c>
      <c r="M19" s="10" t="str">
        <f t="shared" si="3"/>
        <v>-</v>
      </c>
      <c r="N19" s="10">
        <f t="shared" si="3"/>
        <v>0.75676832265208194</v>
      </c>
      <c r="O19" s="11">
        <f t="shared" si="3"/>
        <v>0.65140292197548511</v>
      </c>
      <c r="V19" s="7"/>
      <c r="W19" s="8"/>
      <c r="X19" s="8"/>
    </row>
    <row r="20" spans="1:24" ht="18.75" customHeight="1" x14ac:dyDescent="0.25">
      <c r="A20" s="263" t="s">
        <v>37</v>
      </c>
      <c r="B20" s="31" t="s">
        <v>133</v>
      </c>
      <c r="C20" s="49">
        <f>PAICOL2020!D$27+PAICOL2020!D$29+PAICOL2020!D$31</f>
        <v>27283900</v>
      </c>
      <c r="D20" s="49">
        <f>PAICOL2020!E$27+PAICOL2020!E$29+PAICOL2020!E$31</f>
        <v>32728250</v>
      </c>
      <c r="E20" s="49">
        <f>PAICOL2020!F$27+PAICOL2020!F$29+PAICOL2020!F$31</f>
        <v>26647700</v>
      </c>
      <c r="F20" s="49">
        <f>PAICOL2020!G$27+PAICOL2020!G$29+PAICOL2020!G$31</f>
        <v>0</v>
      </c>
      <c r="G20" s="49">
        <f>PAICOL2020!H$27+PAICOL2020!H$29+PAICOL2020!H$31</f>
        <v>0</v>
      </c>
      <c r="H20" s="49">
        <f>PAICOL2020!I$27+PAICOL2020!I$29+PAICOL2020!I$31</f>
        <v>0</v>
      </c>
      <c r="I20" s="49">
        <f>PAICOL2020!J$27+PAICOL2020!J$29+PAICOL2020!J$31</f>
        <v>0</v>
      </c>
      <c r="J20" s="49">
        <f>PAICOL2020!K$27+PAICOL2020!K$29+PAICOL2020!K$31</f>
        <v>0</v>
      </c>
      <c r="K20" s="49">
        <f>PAICOL2020!L$27+PAICOL2020!L$29+PAICOL2020!L$31</f>
        <v>0</v>
      </c>
      <c r="L20" s="49">
        <f>PAICOL2020!M$27+PAICOL2020!M$29+PAICOL2020!M$31</f>
        <v>0</v>
      </c>
      <c r="M20" s="49">
        <f>PAICOL2020!N$27+PAICOL2020!N$29+PAICOL2020!N$31</f>
        <v>0</v>
      </c>
      <c r="N20" s="49">
        <f>PAICOL2020!O$27+PAICOL2020!O$29+PAICOL2020!O$31</f>
        <v>26469500</v>
      </c>
      <c r="O20" s="51">
        <f>SUM(C20:N20)</f>
        <v>113129350</v>
      </c>
      <c r="V20" s="7"/>
      <c r="W20" s="8"/>
      <c r="X20" s="8"/>
    </row>
    <row r="21" spans="1:24" ht="15.75" customHeight="1" x14ac:dyDescent="0.25">
      <c r="A21" s="263"/>
      <c r="B21" s="31" t="s">
        <v>132</v>
      </c>
      <c r="C21" s="49">
        <f>PAICOL2020!D$26+PAICOL2020!D$28+PAICOL2020!D$30</f>
        <v>34745869</v>
      </c>
      <c r="D21" s="49">
        <f>PAICOL2020!E$26+PAICOL2020!E$28+PAICOL2020!E$30</f>
        <v>38145413</v>
      </c>
      <c r="E21" s="49">
        <f>PAICOL2020!F$26+PAICOL2020!F$28+PAICOL2020!F$30</f>
        <v>32350089</v>
      </c>
      <c r="F21" s="49">
        <f>PAICOL2020!G$26+PAICOL2020!G$28+PAICOL2020!G$30</f>
        <v>33451924</v>
      </c>
      <c r="G21" s="49">
        <f>PAICOL2020!H$26+PAICOL2020!H$28+PAICOL2020!H$30</f>
        <v>0</v>
      </c>
      <c r="H21" s="49">
        <f>PAICOL2020!I$26+PAICOL2020!I$28+PAICOL2020!I$30</f>
        <v>0</v>
      </c>
      <c r="I21" s="49">
        <f>PAICOL2020!J$26+PAICOL2020!J$28+PAICOL2020!J$30</f>
        <v>0</v>
      </c>
      <c r="J21" s="49">
        <f>PAICOL2020!K$26+PAICOL2020!K$28+PAICOL2020!K$30</f>
        <v>0</v>
      </c>
      <c r="K21" s="49">
        <f>PAICOL2020!L$26+PAICOL2020!L$28+PAICOL2020!L$30</f>
        <v>0</v>
      </c>
      <c r="L21" s="49">
        <f>PAICOL2020!M$26+PAICOL2020!M$28+PAICOL2020!M$30</f>
        <v>0</v>
      </c>
      <c r="M21" s="49">
        <f>PAICOL2020!N$26+PAICOL2020!N$28+PAICOL2020!N$30</f>
        <v>0</v>
      </c>
      <c r="N21" s="49">
        <f>PAICOL2020!O$26+PAICOL2020!O$28+PAICOL2020!O$30</f>
        <v>34977019</v>
      </c>
      <c r="O21" s="51">
        <f>SUM(C21:N21)</f>
        <v>173670314</v>
      </c>
      <c r="V21" s="7"/>
      <c r="W21" s="8"/>
      <c r="X21" s="8"/>
    </row>
    <row r="22" spans="1:24" ht="17.25" customHeight="1" x14ac:dyDescent="0.25">
      <c r="A22" s="263"/>
      <c r="B22" s="65"/>
      <c r="C22" s="49"/>
      <c r="D22" s="49"/>
      <c r="E22" s="49"/>
      <c r="F22" s="49"/>
      <c r="G22" s="49"/>
      <c r="H22" s="49"/>
      <c r="I22" s="49"/>
      <c r="J22" s="49"/>
      <c r="K22" s="3"/>
      <c r="L22" s="3"/>
      <c r="M22" s="3"/>
      <c r="N22" s="3"/>
      <c r="O22" s="16"/>
      <c r="V22" s="7"/>
      <c r="W22" s="8"/>
      <c r="X22" s="8"/>
    </row>
    <row r="23" spans="1:24" ht="18" customHeight="1" thickBot="1" x14ac:dyDescent="0.3">
      <c r="A23" s="264"/>
      <c r="B23" s="67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33" customHeight="1" thickBot="1" x14ac:dyDescent="0.3">
      <c r="A24" s="265" t="s">
        <v>34</v>
      </c>
      <c r="B24" s="266"/>
      <c r="C24" s="267"/>
      <c r="D24" s="280" t="str">
        <f>'SET SP Paicol'!$G9</f>
        <v>Entre 71% y 100%</v>
      </c>
      <c r="E24" s="281"/>
      <c r="F24" s="281"/>
      <c r="G24" s="282"/>
      <c r="H24" s="280" t="str">
        <f>'SET SP Paicol'!$H9</f>
        <v>Entre 60% y 70%</v>
      </c>
      <c r="I24" s="281"/>
      <c r="J24" s="281"/>
      <c r="K24" s="282"/>
      <c r="L24" s="273" t="str">
        <f>'SET SP Paicol'!$I9</f>
        <v>Menor al 59%</v>
      </c>
      <c r="M24" s="274"/>
      <c r="N24" s="274"/>
      <c r="O24" s="275"/>
      <c r="V24" s="7"/>
      <c r="W24" s="8"/>
      <c r="X24" s="8"/>
    </row>
    <row r="25" spans="1:24" ht="33" customHeight="1" thickBot="1" x14ac:dyDescent="0.3">
      <c r="A25" s="268"/>
      <c r="B25" s="269"/>
      <c r="C25" s="269"/>
      <c r="D25" s="270" t="s">
        <v>7</v>
      </c>
      <c r="E25" s="270"/>
      <c r="F25" s="270"/>
      <c r="G25" s="270"/>
      <c r="H25" s="271" t="s">
        <v>61</v>
      </c>
      <c r="I25" s="271"/>
      <c r="J25" s="271"/>
      <c r="K25" s="271"/>
      <c r="L25" s="231" t="s">
        <v>62</v>
      </c>
      <c r="M25" s="231"/>
      <c r="N25" s="231"/>
      <c r="O25" s="232"/>
      <c r="V25" s="7"/>
      <c r="W25" s="8"/>
      <c r="X25" s="8"/>
    </row>
    <row r="26" spans="1:24" ht="15.75" customHeight="1" thickBot="1" x14ac:dyDescent="0.3">
      <c r="A26" s="233" t="s">
        <v>36</v>
      </c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5"/>
      <c r="V26" s="7"/>
      <c r="W26" s="8"/>
      <c r="X26" s="8"/>
    </row>
    <row r="27" spans="1:24" ht="264.75" customHeight="1" thickBot="1" x14ac:dyDescent="0.3">
      <c r="A27" s="277"/>
      <c r="B27" s="278"/>
      <c r="C27" s="278"/>
      <c r="D27" s="278"/>
      <c r="E27" s="278"/>
      <c r="F27" s="278"/>
      <c r="G27" s="278"/>
      <c r="H27" s="278"/>
      <c r="I27" s="278"/>
      <c r="J27" s="278"/>
      <c r="K27" s="278"/>
      <c r="L27" s="278"/>
      <c r="M27" s="278"/>
      <c r="N27" s="278"/>
      <c r="O27" s="279"/>
      <c r="V27" s="7"/>
    </row>
    <row r="28" spans="1:24" ht="15" customHeight="1" x14ac:dyDescent="0.25">
      <c r="A28" s="188" t="s">
        <v>58</v>
      </c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90" t="s">
        <v>60</v>
      </c>
      <c r="O28" s="191"/>
    </row>
    <row r="29" spans="1:24" ht="15" customHeight="1" x14ac:dyDescent="0.25">
      <c r="A29" s="182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6">
        <v>45658</v>
      </c>
      <c r="O29" s="187"/>
    </row>
    <row r="30" spans="1:24" ht="15" customHeight="1" x14ac:dyDescent="0.25">
      <c r="A30" s="182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6">
        <v>45689</v>
      </c>
      <c r="O30" s="187"/>
    </row>
    <row r="31" spans="1:24" ht="15" customHeight="1" x14ac:dyDescent="0.25">
      <c r="A31" s="182"/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6">
        <v>45717</v>
      </c>
      <c r="O31" s="187"/>
    </row>
    <row r="32" spans="1:24" ht="15" customHeight="1" x14ac:dyDescent="0.25">
      <c r="A32" s="182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6">
        <v>45748</v>
      </c>
      <c r="O32" s="187"/>
    </row>
    <row r="33" spans="1:17" ht="15" customHeight="1" x14ac:dyDescent="0.25">
      <c r="A33" s="182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6">
        <v>45778</v>
      </c>
      <c r="O33" s="187"/>
    </row>
    <row r="34" spans="1:17" ht="15" customHeight="1" x14ac:dyDescent="0.25">
      <c r="A34" s="182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6">
        <v>45809</v>
      </c>
      <c r="O34" s="187"/>
    </row>
    <row r="35" spans="1:17" ht="15" customHeight="1" x14ac:dyDescent="0.25">
      <c r="A35" s="182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6">
        <v>45839</v>
      </c>
      <c r="O35" s="187"/>
    </row>
    <row r="36" spans="1:17" ht="15" customHeight="1" x14ac:dyDescent="0.25">
      <c r="A36" s="182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6">
        <v>45870</v>
      </c>
      <c r="O36" s="187"/>
    </row>
    <row r="37" spans="1:17" ht="15" customHeight="1" x14ac:dyDescent="0.25">
      <c r="A37" s="182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6">
        <v>45901</v>
      </c>
      <c r="O37" s="187"/>
    </row>
    <row r="38" spans="1:17" ht="15" customHeight="1" x14ac:dyDescent="0.25">
      <c r="A38" s="182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6">
        <v>45931</v>
      </c>
      <c r="O38" s="187"/>
    </row>
    <row r="39" spans="1:17" ht="15" customHeight="1" x14ac:dyDescent="0.25">
      <c r="A39" s="182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6">
        <v>45962</v>
      </c>
      <c r="O39" s="187"/>
    </row>
    <row r="40" spans="1:17" ht="15" customHeight="1" thickBot="1" x14ac:dyDescent="0.3">
      <c r="A40" s="182"/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6">
        <v>45992</v>
      </c>
      <c r="O40" s="187"/>
    </row>
    <row r="41" spans="1:17" ht="15" customHeight="1" x14ac:dyDescent="0.25">
      <c r="A41" s="188" t="s">
        <v>59</v>
      </c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90" t="s">
        <v>60</v>
      </c>
      <c r="O41" s="191"/>
    </row>
    <row r="42" spans="1:17" ht="24" customHeight="1" x14ac:dyDescent="0.25">
      <c r="A42" s="182"/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4"/>
      <c r="O42" s="185"/>
    </row>
    <row r="43" spans="1:17" ht="22.5" customHeight="1" thickBot="1" x14ac:dyDescent="0.3">
      <c r="A43" s="283"/>
      <c r="B43" s="284"/>
      <c r="C43" s="284"/>
      <c r="D43" s="284"/>
      <c r="E43" s="284"/>
      <c r="F43" s="284"/>
      <c r="G43" s="284"/>
      <c r="H43" s="284"/>
      <c r="I43" s="284"/>
      <c r="J43" s="284"/>
      <c r="K43" s="284"/>
      <c r="L43" s="284"/>
      <c r="M43" s="284"/>
      <c r="N43" s="284"/>
      <c r="O43" s="285"/>
    </row>
    <row r="44" spans="1:17" ht="6.75" customHeight="1" x14ac:dyDescent="0.25">
      <c r="A44" s="250"/>
      <c r="B44" s="250"/>
      <c r="C44" s="250"/>
      <c r="D44" s="250"/>
      <c r="E44" s="250"/>
      <c r="F44" s="250"/>
      <c r="G44" s="250"/>
      <c r="H44" s="250"/>
      <c r="I44" s="250"/>
      <c r="J44" s="250"/>
      <c r="K44" s="250"/>
      <c r="L44" s="250"/>
      <c r="M44" s="250"/>
      <c r="N44" s="250"/>
      <c r="O44" s="250"/>
    </row>
    <row r="46" spans="1:17" ht="14.25" x14ac:dyDescent="0.2">
      <c r="Q46" s="40" t="s">
        <v>80</v>
      </c>
    </row>
    <row r="47" spans="1:17" ht="14.25" x14ac:dyDescent="0.2">
      <c r="Q47" s="40" t="s">
        <v>81</v>
      </c>
    </row>
    <row r="48" spans="1:17" ht="14.25" x14ac:dyDescent="0.2">
      <c r="Q48" s="40" t="s">
        <v>82</v>
      </c>
    </row>
    <row r="49" spans="17:17" ht="14.25" x14ac:dyDescent="0.2">
      <c r="Q49" s="40" t="s">
        <v>83</v>
      </c>
    </row>
    <row r="50" spans="17:17" ht="14.25" x14ac:dyDescent="0.2">
      <c r="Q50" s="40" t="s">
        <v>84</v>
      </c>
    </row>
    <row r="51" spans="17:17" ht="14.25" x14ac:dyDescent="0.2">
      <c r="Q51" s="40" t="s">
        <v>85</v>
      </c>
    </row>
    <row r="52" spans="17:17" ht="14.25" x14ac:dyDescent="0.2">
      <c r="Q52" s="40" t="s">
        <v>86</v>
      </c>
    </row>
    <row r="53" spans="17:17" ht="14.25" x14ac:dyDescent="0.2">
      <c r="Q53" s="40" t="s">
        <v>87</v>
      </c>
    </row>
    <row r="54" spans="17:17" ht="14.25" x14ac:dyDescent="0.2">
      <c r="Q54" s="40" t="s">
        <v>88</v>
      </c>
    </row>
    <row r="55" spans="17:17" ht="14.25" x14ac:dyDescent="0.2">
      <c r="Q55" s="40" t="s">
        <v>89</v>
      </c>
    </row>
    <row r="56" spans="17:17" ht="14.25" x14ac:dyDescent="0.2">
      <c r="Q56" s="40" t="s">
        <v>90</v>
      </c>
    </row>
    <row r="57" spans="17:17" ht="14.25" x14ac:dyDescent="0.2">
      <c r="Q57" s="40" t="s">
        <v>91</v>
      </c>
    </row>
    <row r="58" spans="17:17" ht="14.25" x14ac:dyDescent="0.2">
      <c r="Q58" s="40" t="s">
        <v>92</v>
      </c>
    </row>
    <row r="60" spans="17:17" x14ac:dyDescent="0.25">
      <c r="Q60" s="35">
        <v>0.73</v>
      </c>
    </row>
    <row r="61" spans="17:17" x14ac:dyDescent="0.25">
      <c r="Q61" s="35">
        <v>0.75</v>
      </c>
    </row>
  </sheetData>
  <mergeCells count="76">
    <mergeCell ref="A44:O44"/>
    <mergeCell ref="A27:O27"/>
    <mergeCell ref="H24:K24"/>
    <mergeCell ref="A24:C25"/>
    <mergeCell ref="D24:G24"/>
    <mergeCell ref="A26:O26"/>
    <mergeCell ref="A43:M43"/>
    <mergeCell ref="N43:O43"/>
    <mergeCell ref="A28:M28"/>
    <mergeCell ref="N28:O28"/>
    <mergeCell ref="N41:O41"/>
    <mergeCell ref="A41:M41"/>
    <mergeCell ref="N42:O42"/>
    <mergeCell ref="A42:M42"/>
    <mergeCell ref="A29:M29"/>
    <mergeCell ref="N29:O29"/>
    <mergeCell ref="A7:E7"/>
    <mergeCell ref="A18:B18"/>
    <mergeCell ref="A19:B19"/>
    <mergeCell ref="A20:A23"/>
    <mergeCell ref="A17:B17"/>
    <mergeCell ref="A12:O12"/>
    <mergeCell ref="J11:O11"/>
    <mergeCell ref="F7:O7"/>
    <mergeCell ref="A8:E8"/>
    <mergeCell ref="G8:O8"/>
    <mergeCell ref="A9:D10"/>
    <mergeCell ref="E9:E10"/>
    <mergeCell ref="F9:G10"/>
    <mergeCell ref="A14:O14"/>
    <mergeCell ref="A15:O15"/>
    <mergeCell ref="N10:O10"/>
    <mergeCell ref="A11:D11"/>
    <mergeCell ref="F11:G11"/>
    <mergeCell ref="L24:O24"/>
    <mergeCell ref="D25:G25"/>
    <mergeCell ref="H25:K25"/>
    <mergeCell ref="A13:O13"/>
    <mergeCell ref="A16:B16"/>
    <mergeCell ref="L25:O25"/>
    <mergeCell ref="I9:I10"/>
    <mergeCell ref="J9:K10"/>
    <mergeCell ref="L9:O9"/>
    <mergeCell ref="L10:M10"/>
    <mergeCell ref="H9:H10"/>
    <mergeCell ref="D1:O1"/>
    <mergeCell ref="D4:O4"/>
    <mergeCell ref="A5:E5"/>
    <mergeCell ref="F5:O5"/>
    <mergeCell ref="A6:E6"/>
    <mergeCell ref="F6:O6"/>
    <mergeCell ref="A1:C4"/>
    <mergeCell ref="D2:O2"/>
    <mergeCell ref="D3:O3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A39:M39"/>
    <mergeCell ref="N39:O39"/>
    <mergeCell ref="A40:M40"/>
    <mergeCell ref="N40:O40"/>
    <mergeCell ref="A36:M36"/>
    <mergeCell ref="N36:O36"/>
    <mergeCell ref="A37:M37"/>
    <mergeCell ref="N37:O37"/>
    <mergeCell ref="A38:M38"/>
    <mergeCell ref="N38:O38"/>
  </mergeCells>
  <dataValidations count="1">
    <dataValidation type="list" allowBlank="1" showInputMessage="1" showErrorMessage="1" sqref="J11:O11" xr:uid="{00000000-0002-0000-0200-000000000000}">
      <formula1>$Q$46:$Q$58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62"/>
  <sheetViews>
    <sheetView topLeftCell="A28" zoomScaleSheetLayoutView="72" workbookViewId="0">
      <selection activeCell="N30" sqref="N30:O41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4" width="9.28515625" style="2" customWidth="1"/>
    <col min="5" max="5" width="10.140625" style="2" customWidth="1"/>
    <col min="6" max="8" width="9" style="2" bestFit="1" customWidth="1"/>
    <col min="9" max="9" width="9.7109375" style="2" customWidth="1"/>
    <col min="10" max="12" width="9.85546875" style="2" bestFit="1" customWidth="1"/>
    <col min="13" max="13" width="7.42578125" style="2" customWidth="1"/>
    <col min="14" max="14" width="7.5703125" style="2" customWidth="1"/>
    <col min="15" max="15" width="7.7109375" style="2" customWidth="1"/>
    <col min="16" max="16" width="6" style="2" customWidth="1"/>
    <col min="17" max="18" width="6" style="2" hidden="1" customWidth="1"/>
    <col min="19" max="19" width="6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4.25" customHeight="1" x14ac:dyDescent="0.25">
      <c r="A1" s="195"/>
      <c r="B1" s="196"/>
      <c r="C1" s="196"/>
      <c r="D1" s="179" t="s">
        <v>251</v>
      </c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1"/>
    </row>
    <row r="2" spans="1:24" ht="12.75" customHeight="1" x14ac:dyDescent="0.25">
      <c r="A2" s="197"/>
      <c r="B2" s="198"/>
      <c r="C2" s="198"/>
      <c r="D2" s="308" t="s">
        <v>272</v>
      </c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10"/>
    </row>
    <row r="3" spans="1:24" ht="15.75" customHeight="1" x14ac:dyDescent="0.25">
      <c r="A3" s="197"/>
      <c r="B3" s="198"/>
      <c r="C3" s="198"/>
      <c r="D3" s="311" t="s">
        <v>20</v>
      </c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3"/>
    </row>
    <row r="4" spans="1:24" ht="11.25" customHeight="1" thickBot="1" x14ac:dyDescent="0.3">
      <c r="A4" s="199"/>
      <c r="B4" s="200"/>
      <c r="C4" s="200"/>
      <c r="D4" s="192" t="s">
        <v>269</v>
      </c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4"/>
    </row>
    <row r="5" spans="1:24" ht="13.5" customHeight="1" x14ac:dyDescent="0.25">
      <c r="A5" s="201" t="s">
        <v>0</v>
      </c>
      <c r="B5" s="202"/>
      <c r="C5" s="202"/>
      <c r="D5" s="202"/>
      <c r="E5" s="202"/>
      <c r="F5" s="202" t="str">
        <f>'SET SP Paicol'!J5</f>
        <v>GESTIÓN DE SERVICIOS PÚBLICOS - PAICOL</v>
      </c>
      <c r="G5" s="202"/>
      <c r="H5" s="202"/>
      <c r="I5" s="202"/>
      <c r="J5" s="202"/>
      <c r="K5" s="202"/>
      <c r="L5" s="202"/>
      <c r="M5" s="202"/>
      <c r="N5" s="202"/>
      <c r="O5" s="203"/>
    </row>
    <row r="6" spans="1:24" ht="15.75" customHeight="1" x14ac:dyDescent="0.25">
      <c r="A6" s="204" t="s">
        <v>1</v>
      </c>
      <c r="B6" s="205"/>
      <c r="C6" s="205"/>
      <c r="D6" s="205"/>
      <c r="E6" s="205"/>
      <c r="F6" s="206" t="str">
        <f>'SET SP Paicol'!$B10</f>
        <v xml:space="preserve">Rotación de Cartera </v>
      </c>
      <c r="G6" s="206"/>
      <c r="H6" s="206"/>
      <c r="I6" s="206"/>
      <c r="J6" s="206"/>
      <c r="K6" s="206"/>
      <c r="L6" s="206"/>
      <c r="M6" s="206"/>
      <c r="N6" s="206"/>
      <c r="O6" s="272"/>
    </row>
    <row r="7" spans="1:24" ht="15.75" customHeight="1" x14ac:dyDescent="0.25">
      <c r="A7" s="204" t="s">
        <v>55</v>
      </c>
      <c r="B7" s="205"/>
      <c r="C7" s="205"/>
      <c r="D7" s="205"/>
      <c r="E7" s="205"/>
      <c r="F7" s="223" t="str">
        <f>'SET SP Paicol'!F10</f>
        <v xml:space="preserve">Eficiencia </v>
      </c>
      <c r="G7" s="224"/>
      <c r="H7" s="224"/>
      <c r="I7" s="224"/>
      <c r="J7" s="224"/>
      <c r="K7" s="224"/>
      <c r="L7" s="224"/>
      <c r="M7" s="224"/>
      <c r="N7" s="224"/>
      <c r="O7" s="225"/>
    </row>
    <row r="8" spans="1:24" ht="17.25" customHeight="1" thickBot="1" x14ac:dyDescent="0.3">
      <c r="A8" s="209" t="s">
        <v>21</v>
      </c>
      <c r="B8" s="210"/>
      <c r="C8" s="210"/>
      <c r="D8" s="210"/>
      <c r="E8" s="210"/>
      <c r="F8" s="23" t="s">
        <v>93</v>
      </c>
      <c r="G8" s="211" t="str">
        <f>'SET SP Paicol'!A10</f>
        <v>IN03</v>
      </c>
      <c r="H8" s="211"/>
      <c r="I8" s="211"/>
      <c r="J8" s="211"/>
      <c r="K8" s="211"/>
      <c r="L8" s="211"/>
      <c r="M8" s="211"/>
      <c r="N8" s="211"/>
      <c r="O8" s="276"/>
    </row>
    <row r="9" spans="1:24" ht="12.75" customHeight="1" x14ac:dyDescent="0.25">
      <c r="A9" s="214" t="s">
        <v>22</v>
      </c>
      <c r="B9" s="215"/>
      <c r="C9" s="215"/>
      <c r="D9" s="215"/>
      <c r="E9" s="218" t="s">
        <v>23</v>
      </c>
      <c r="F9" s="218" t="s">
        <v>24</v>
      </c>
      <c r="G9" s="218"/>
      <c r="H9" s="218" t="s">
        <v>25</v>
      </c>
      <c r="I9" s="218" t="s">
        <v>26</v>
      </c>
      <c r="J9" s="218" t="s">
        <v>27</v>
      </c>
      <c r="K9" s="218"/>
      <c r="L9" s="220" t="s">
        <v>28</v>
      </c>
      <c r="M9" s="220"/>
      <c r="N9" s="220"/>
      <c r="O9" s="221"/>
    </row>
    <row r="10" spans="1:24" ht="46.5" customHeight="1" x14ac:dyDescent="0.25">
      <c r="A10" s="216"/>
      <c r="B10" s="217"/>
      <c r="C10" s="217"/>
      <c r="D10" s="217"/>
      <c r="E10" s="219"/>
      <c r="F10" s="219"/>
      <c r="G10" s="219"/>
      <c r="H10" s="219"/>
      <c r="I10" s="219"/>
      <c r="J10" s="219"/>
      <c r="K10" s="219"/>
      <c r="L10" s="217" t="s">
        <v>29</v>
      </c>
      <c r="M10" s="217"/>
      <c r="N10" s="217" t="s">
        <v>30</v>
      </c>
      <c r="O10" s="222"/>
    </row>
    <row r="11" spans="1:24" ht="59.25" customHeight="1" thickBot="1" x14ac:dyDescent="0.3">
      <c r="A11" s="286" t="str">
        <f>'SET SP Paicol'!$C10</f>
        <v>Controlar la cartera existentes de servicios publicos por edades con el fin de evaluar la rotación de la misma.</v>
      </c>
      <c r="B11" s="287"/>
      <c r="C11" s="287"/>
      <c r="D11" s="287"/>
      <c r="E11" s="14" t="s">
        <v>112</v>
      </c>
      <c r="F11" s="287" t="str">
        <f>'SET SP Paicol'!$D10</f>
        <v>(Cuentas por Cobrar  a particulares y/o oficiales /  Valor Facturado Usuarios particulares y/o oficiales) x 365</v>
      </c>
      <c r="G11" s="287"/>
      <c r="H11" s="50">
        <f>$O18</f>
        <v>5</v>
      </c>
      <c r="I11" s="13" t="str">
        <f>'SET SP Paicol'!$E10</f>
        <v>Trimestral</v>
      </c>
      <c r="J11" s="228" t="s">
        <v>88</v>
      </c>
      <c r="K11" s="229"/>
      <c r="L11" s="229"/>
      <c r="M11" s="229"/>
      <c r="N11" s="229"/>
      <c r="O11" s="230"/>
    </row>
    <row r="12" spans="1:24" ht="13.5" customHeight="1" x14ac:dyDescent="0.25">
      <c r="A12" s="236" t="s">
        <v>38</v>
      </c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8"/>
    </row>
    <row r="13" spans="1:24" ht="21.75" customHeight="1" thickBot="1" x14ac:dyDescent="0.3">
      <c r="A13" s="239"/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1"/>
    </row>
    <row r="14" spans="1:24" ht="15" customHeight="1" thickBot="1" x14ac:dyDescent="0.3">
      <c r="A14" s="242" t="s">
        <v>31</v>
      </c>
      <c r="B14" s="243"/>
      <c r="C14" s="243"/>
      <c r="D14" s="243"/>
      <c r="E14" s="243"/>
      <c r="F14" s="243"/>
      <c r="G14" s="243"/>
      <c r="H14" s="243"/>
      <c r="I14" s="243"/>
      <c r="J14" s="243"/>
      <c r="K14" s="243"/>
      <c r="L14" s="243"/>
      <c r="M14" s="243"/>
      <c r="N14" s="243"/>
      <c r="O14" s="244"/>
      <c r="V14" s="7"/>
      <c r="W14" s="6"/>
      <c r="X14" s="6"/>
    </row>
    <row r="15" spans="1:24" ht="16.5" customHeight="1" x14ac:dyDescent="0.25">
      <c r="A15" s="245" t="s">
        <v>267</v>
      </c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7"/>
      <c r="V15" s="7"/>
      <c r="W15" s="8"/>
      <c r="X15" s="8"/>
    </row>
    <row r="16" spans="1:24" ht="16.5" customHeight="1" x14ac:dyDescent="0.25">
      <c r="A16" s="248" t="s">
        <v>32</v>
      </c>
      <c r="B16" s="249"/>
      <c r="C16" s="66" t="s">
        <v>8</v>
      </c>
      <c r="D16" s="66" t="s">
        <v>9</v>
      </c>
      <c r="E16" s="66" t="s">
        <v>10</v>
      </c>
      <c r="F16" s="66" t="s">
        <v>11</v>
      </c>
      <c r="G16" s="66" t="s">
        <v>12</v>
      </c>
      <c r="H16" s="66" t="s">
        <v>13</v>
      </c>
      <c r="I16" s="66" t="s">
        <v>14</v>
      </c>
      <c r="J16" s="66" t="s">
        <v>15</v>
      </c>
      <c r="K16" s="66" t="s">
        <v>16</v>
      </c>
      <c r="L16" s="66" t="s">
        <v>17</v>
      </c>
      <c r="M16" s="66" t="s">
        <v>18</v>
      </c>
      <c r="N16" s="66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57" t="s">
        <v>39</v>
      </c>
      <c r="B17" s="258"/>
      <c r="C17" s="20">
        <f t="shared" ref="C17:N17" si="0">$O$17</f>
        <v>7</v>
      </c>
      <c r="D17" s="20">
        <f t="shared" si="0"/>
        <v>7</v>
      </c>
      <c r="E17" s="20">
        <f t="shared" si="0"/>
        <v>7</v>
      </c>
      <c r="F17" s="20">
        <f t="shared" si="0"/>
        <v>7</v>
      </c>
      <c r="G17" s="20">
        <f t="shared" si="0"/>
        <v>7</v>
      </c>
      <c r="H17" s="20">
        <f t="shared" si="0"/>
        <v>7</v>
      </c>
      <c r="I17" s="20">
        <f t="shared" si="0"/>
        <v>7</v>
      </c>
      <c r="J17" s="20">
        <f t="shared" si="0"/>
        <v>7</v>
      </c>
      <c r="K17" s="20">
        <f t="shared" si="0"/>
        <v>7</v>
      </c>
      <c r="L17" s="20">
        <f t="shared" si="0"/>
        <v>7</v>
      </c>
      <c r="M17" s="20">
        <f t="shared" si="0"/>
        <v>7</v>
      </c>
      <c r="N17" s="20">
        <f t="shared" si="0"/>
        <v>7</v>
      </c>
      <c r="O17" s="111">
        <f>'SET SP Paicol'!J10</f>
        <v>7</v>
      </c>
      <c r="V17" s="7"/>
      <c r="W17" s="8"/>
      <c r="X17" s="8"/>
    </row>
    <row r="18" spans="1:24" ht="17.25" customHeight="1" x14ac:dyDescent="0.25">
      <c r="A18" s="257" t="s">
        <v>268</v>
      </c>
      <c r="B18" s="258"/>
      <c r="C18" s="20">
        <f t="shared" ref="C18:N18" si="1">$O$18</f>
        <v>5</v>
      </c>
      <c r="D18" s="20">
        <f t="shared" si="1"/>
        <v>5</v>
      </c>
      <c r="E18" s="20">
        <f t="shared" si="1"/>
        <v>5</v>
      </c>
      <c r="F18" s="20">
        <f t="shared" si="1"/>
        <v>5</v>
      </c>
      <c r="G18" s="20">
        <f t="shared" si="1"/>
        <v>5</v>
      </c>
      <c r="H18" s="20">
        <f t="shared" si="1"/>
        <v>5</v>
      </c>
      <c r="I18" s="20">
        <f t="shared" si="1"/>
        <v>5</v>
      </c>
      <c r="J18" s="20">
        <f t="shared" si="1"/>
        <v>5</v>
      </c>
      <c r="K18" s="20">
        <f t="shared" si="1"/>
        <v>5</v>
      </c>
      <c r="L18" s="20">
        <f t="shared" si="1"/>
        <v>5</v>
      </c>
      <c r="M18" s="20">
        <f t="shared" si="1"/>
        <v>5</v>
      </c>
      <c r="N18" s="20">
        <f t="shared" si="1"/>
        <v>5</v>
      </c>
      <c r="O18" s="111">
        <f>'SET SP Paicol'!K10</f>
        <v>5</v>
      </c>
      <c r="V18" s="7"/>
      <c r="W18" s="8"/>
      <c r="X18" s="8"/>
    </row>
    <row r="19" spans="1:24" ht="17.25" customHeight="1" x14ac:dyDescent="0.25">
      <c r="A19" s="261" t="s">
        <v>263</v>
      </c>
      <c r="B19" s="262"/>
      <c r="C19" s="46">
        <f>IF((C22),(C20/C22)*30,"-")</f>
        <v>8.5293178898670963</v>
      </c>
      <c r="D19" s="46">
        <f>IF((D22),(D20/D22)*60,"-")</f>
        <v>5.6986697840852631</v>
      </c>
      <c r="E19" s="46">
        <f>IF((E22),(E20/E22)*90,"-")</f>
        <v>6.1063218512179658</v>
      </c>
      <c r="F19" s="46">
        <f>IF((F22),(F20/F22)*120,"-")</f>
        <v>35.747767785383957</v>
      </c>
      <c r="G19" s="46">
        <f>IF((G22),(G20/G22)*150,"-")</f>
        <v>0</v>
      </c>
      <c r="H19" s="46">
        <f>IF((H22),(H20/H22)*180,"-")</f>
        <v>0</v>
      </c>
      <c r="I19" s="46">
        <f>IF((I22),(I20/I22)*220,"-")</f>
        <v>0</v>
      </c>
      <c r="J19" s="46">
        <f>IF((J22),(J20/J22)*250,"-")</f>
        <v>0</v>
      </c>
      <c r="K19" s="46">
        <f>IF((K22),(K20/K22)*280,"-")</f>
        <v>0</v>
      </c>
      <c r="L19" s="46">
        <f>IF((L22),(L20/L22)*310,"-")</f>
        <v>0</v>
      </c>
      <c r="M19" s="46">
        <f>IF((M22),(M20/M22)*330,"-")</f>
        <v>0</v>
      </c>
      <c r="N19" s="46">
        <f>IF((N22),(N20/N22)*365,"-")</f>
        <v>22.376886351840373</v>
      </c>
      <c r="O19" s="47">
        <f t="shared" ref="O19" si="2">IF((O22),(O20/O22)*365,"-")</f>
        <v>13.269813356268136</v>
      </c>
      <c r="V19" s="7"/>
      <c r="W19" s="8"/>
      <c r="X19" s="8"/>
    </row>
    <row r="20" spans="1:24" ht="24.75" customHeight="1" x14ac:dyDescent="0.25">
      <c r="A20" s="263" t="s">
        <v>37</v>
      </c>
      <c r="B20" s="31" t="s">
        <v>134</v>
      </c>
      <c r="C20" s="49">
        <f>+PAICOL2020!D37</f>
        <v>7461969</v>
      </c>
      <c r="D20" s="49">
        <f>+PAICOL2020!E37</f>
        <v>5417163</v>
      </c>
      <c r="E20" s="49">
        <f>+PAICOL2020!F37</f>
        <v>5702389</v>
      </c>
      <c r="F20" s="49">
        <f>+PAICOL2020!G37</f>
        <v>33451924</v>
      </c>
      <c r="G20" s="49">
        <f>+PAICOL2020!H37</f>
        <v>0</v>
      </c>
      <c r="H20" s="49">
        <f>+PAICOL2020!I37</f>
        <v>0</v>
      </c>
      <c r="I20" s="49">
        <f>+PAICOL2020!J37</f>
        <v>0</v>
      </c>
      <c r="J20" s="49">
        <f>+PAICOL2020!K37</f>
        <v>0</v>
      </c>
      <c r="K20" s="49">
        <f>+PAICOL2020!L37</f>
        <v>0</v>
      </c>
      <c r="L20" s="49">
        <f>+PAICOL2020!M37</f>
        <v>0</v>
      </c>
      <c r="M20" s="49">
        <f>+PAICOL2020!N37</f>
        <v>0</v>
      </c>
      <c r="N20" s="49">
        <f>+PAICOL2020!O37</f>
        <v>8507519</v>
      </c>
      <c r="O20" s="51">
        <f>AVERAGE(C20:N20)</f>
        <v>5045080.333333333</v>
      </c>
      <c r="V20" s="7"/>
      <c r="W20" s="8"/>
      <c r="X20" s="8"/>
    </row>
    <row r="21" spans="1:24" ht="24.75" customHeight="1" x14ac:dyDescent="0.25">
      <c r="A21" s="263"/>
      <c r="B21" s="31" t="s">
        <v>249</v>
      </c>
      <c r="C21" s="49">
        <f>'01'!C21</f>
        <v>26245835</v>
      </c>
      <c r="D21" s="49">
        <f>'01'!D21</f>
        <v>30790244</v>
      </c>
      <c r="E21" s="49">
        <f>'01'!E21</f>
        <v>27010426</v>
      </c>
      <c r="F21" s="49">
        <f>'01'!F21</f>
        <v>28246685</v>
      </c>
      <c r="G21" s="49">
        <f>'01'!G21</f>
        <v>0</v>
      </c>
      <c r="H21" s="49">
        <f>'01'!H21</f>
        <v>0</v>
      </c>
      <c r="I21" s="49">
        <f>'01'!I21</f>
        <v>0</v>
      </c>
      <c r="J21" s="49">
        <f>'01'!J21</f>
        <v>0</v>
      </c>
      <c r="K21" s="49">
        <f>'01'!K21</f>
        <v>0</v>
      </c>
      <c r="L21" s="49">
        <f>'01'!L21</f>
        <v>0</v>
      </c>
      <c r="M21" s="49">
        <f>'01'!M21</f>
        <v>0</v>
      </c>
      <c r="N21" s="49">
        <f>'01'!N21</f>
        <v>26476985</v>
      </c>
      <c r="O21" s="51">
        <f>SUM(C21:N21)</f>
        <v>138770175</v>
      </c>
      <c r="V21" s="7"/>
      <c r="W21" s="8"/>
      <c r="X21" s="8"/>
    </row>
    <row r="22" spans="1:24" ht="23.25" customHeight="1" x14ac:dyDescent="0.25">
      <c r="A22" s="263"/>
      <c r="B22" s="31" t="s">
        <v>250</v>
      </c>
      <c r="C22" s="49">
        <f>C21</f>
        <v>26245835</v>
      </c>
      <c r="D22" s="49">
        <f>C22+D21</f>
        <v>57036079</v>
      </c>
      <c r="E22" s="49">
        <f t="shared" ref="E22:J22" si="3">D22+E21</f>
        <v>84046505</v>
      </c>
      <c r="F22" s="49">
        <f t="shared" si="3"/>
        <v>112293190</v>
      </c>
      <c r="G22" s="49">
        <f t="shared" si="3"/>
        <v>112293190</v>
      </c>
      <c r="H22" s="49">
        <f t="shared" si="3"/>
        <v>112293190</v>
      </c>
      <c r="I22" s="49">
        <f t="shared" si="3"/>
        <v>112293190</v>
      </c>
      <c r="J22" s="49">
        <f t="shared" si="3"/>
        <v>112293190</v>
      </c>
      <c r="K22" s="49">
        <f t="shared" ref="K22" si="4">J22+K21</f>
        <v>112293190</v>
      </c>
      <c r="L22" s="49">
        <f t="shared" ref="L22" si="5">K22+L21</f>
        <v>112293190</v>
      </c>
      <c r="M22" s="49">
        <f t="shared" ref="M22" si="6">L22+M21</f>
        <v>112293190</v>
      </c>
      <c r="N22" s="49">
        <f t="shared" ref="N22" si="7">M22+N21</f>
        <v>138770175</v>
      </c>
      <c r="O22" s="51">
        <f>MAX(C22:N22)</f>
        <v>138770175</v>
      </c>
      <c r="V22" s="7"/>
      <c r="W22" s="8"/>
      <c r="X22" s="8"/>
    </row>
    <row r="23" spans="1:24" ht="17.25" customHeight="1" x14ac:dyDescent="0.25">
      <c r="A23" s="263"/>
      <c r="B23" s="65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16"/>
      <c r="V23" s="7"/>
      <c r="W23" s="8"/>
      <c r="X23" s="8"/>
    </row>
    <row r="24" spans="1:24" ht="18" customHeight="1" thickBot="1" x14ac:dyDescent="0.3">
      <c r="A24" s="264"/>
      <c r="B24" s="67" t="s">
        <v>3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V24" s="7"/>
      <c r="W24" s="8"/>
      <c r="X24" s="8"/>
    </row>
    <row r="25" spans="1:24" ht="14.25" customHeight="1" thickBot="1" x14ac:dyDescent="0.3">
      <c r="A25" s="265" t="s">
        <v>34</v>
      </c>
      <c r="B25" s="266"/>
      <c r="C25" s="267"/>
      <c r="D25" s="254" t="str">
        <f>'SET SP Paicol'!$G10</f>
        <v>Menor a 31 días</v>
      </c>
      <c r="E25" s="255"/>
      <c r="F25" s="255"/>
      <c r="G25" s="256"/>
      <c r="H25" s="254" t="str">
        <f>'SET SP Paicol'!$H10</f>
        <v>Entre 31 y 45 días</v>
      </c>
      <c r="I25" s="255"/>
      <c r="J25" s="255"/>
      <c r="K25" s="256"/>
      <c r="L25" s="254" t="str">
        <f>'SET SP Paicol'!$I10</f>
        <v>Mayor a 45 días</v>
      </c>
      <c r="M25" s="259"/>
      <c r="N25" s="259"/>
      <c r="O25" s="260"/>
      <c r="V25" s="7"/>
      <c r="W25" s="8"/>
      <c r="X25" s="8"/>
    </row>
    <row r="26" spans="1:24" ht="33" customHeight="1" thickBot="1" x14ac:dyDescent="0.3">
      <c r="A26" s="268"/>
      <c r="B26" s="269"/>
      <c r="C26" s="269"/>
      <c r="D26" s="270" t="s">
        <v>7</v>
      </c>
      <c r="E26" s="270"/>
      <c r="F26" s="270"/>
      <c r="G26" s="270"/>
      <c r="H26" s="271" t="s">
        <v>61</v>
      </c>
      <c r="I26" s="271"/>
      <c r="J26" s="271"/>
      <c r="K26" s="271"/>
      <c r="L26" s="231" t="s">
        <v>62</v>
      </c>
      <c r="M26" s="231"/>
      <c r="N26" s="231"/>
      <c r="O26" s="232"/>
      <c r="V26" s="7"/>
      <c r="W26" s="8"/>
      <c r="X26" s="8"/>
    </row>
    <row r="27" spans="1:24" ht="15.75" customHeight="1" thickBot="1" x14ac:dyDescent="0.3">
      <c r="A27" s="233" t="s">
        <v>36</v>
      </c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5"/>
      <c r="V27" s="7"/>
      <c r="W27" s="8"/>
      <c r="X27" s="8"/>
    </row>
    <row r="28" spans="1:24" ht="264.75" customHeight="1" thickBot="1" x14ac:dyDescent="0.3">
      <c r="A28" s="251"/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3"/>
      <c r="V28" s="7"/>
    </row>
    <row r="29" spans="1:24" ht="15" customHeight="1" x14ac:dyDescent="0.25">
      <c r="A29" s="188" t="s">
        <v>58</v>
      </c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90" t="s">
        <v>60</v>
      </c>
      <c r="O29" s="191"/>
    </row>
    <row r="30" spans="1:24" ht="15" customHeight="1" x14ac:dyDescent="0.25">
      <c r="A30" s="182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6">
        <v>45658</v>
      </c>
      <c r="O30" s="187"/>
    </row>
    <row r="31" spans="1:24" ht="15" customHeight="1" x14ac:dyDescent="0.25">
      <c r="A31" s="182"/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6">
        <v>45689</v>
      </c>
      <c r="O31" s="187"/>
    </row>
    <row r="32" spans="1:24" ht="15" customHeight="1" x14ac:dyDescent="0.25">
      <c r="A32" s="182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6">
        <v>45717</v>
      </c>
      <c r="O32" s="187"/>
    </row>
    <row r="33" spans="1:17" ht="15" customHeight="1" x14ac:dyDescent="0.25">
      <c r="A33" s="182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6">
        <v>45748</v>
      </c>
      <c r="O33" s="187"/>
    </row>
    <row r="34" spans="1:17" ht="15" customHeight="1" x14ac:dyDescent="0.25">
      <c r="A34" s="182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6">
        <v>45778</v>
      </c>
      <c r="O34" s="187"/>
    </row>
    <row r="35" spans="1:17" ht="15" customHeight="1" x14ac:dyDescent="0.25">
      <c r="A35" s="182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6">
        <v>45809</v>
      </c>
      <c r="O35" s="187"/>
    </row>
    <row r="36" spans="1:17" ht="15" customHeight="1" x14ac:dyDescent="0.25">
      <c r="A36" s="182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6">
        <v>45839</v>
      </c>
      <c r="O36" s="187"/>
    </row>
    <row r="37" spans="1:17" ht="15" customHeight="1" x14ac:dyDescent="0.25">
      <c r="A37" s="182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6">
        <v>45870</v>
      </c>
      <c r="O37" s="187"/>
    </row>
    <row r="38" spans="1:17" ht="15" customHeight="1" x14ac:dyDescent="0.25">
      <c r="A38" s="182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6">
        <v>45901</v>
      </c>
      <c r="O38" s="187"/>
    </row>
    <row r="39" spans="1:17" ht="15" customHeight="1" x14ac:dyDescent="0.25">
      <c r="A39" s="182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6">
        <v>45931</v>
      </c>
      <c r="O39" s="187"/>
    </row>
    <row r="40" spans="1:17" ht="15" customHeight="1" x14ac:dyDescent="0.25">
      <c r="A40" s="182"/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6">
        <v>45962</v>
      </c>
      <c r="O40" s="187"/>
    </row>
    <row r="41" spans="1:17" ht="15" customHeight="1" thickBot="1" x14ac:dyDescent="0.3">
      <c r="A41" s="182"/>
      <c r="B41" s="183"/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6">
        <v>45992</v>
      </c>
      <c r="O41" s="187"/>
    </row>
    <row r="42" spans="1:17" ht="19.5" customHeight="1" x14ac:dyDescent="0.25">
      <c r="A42" s="188" t="s">
        <v>59</v>
      </c>
      <c r="B42" s="189"/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90" t="s">
        <v>60</v>
      </c>
      <c r="O42" s="191"/>
    </row>
    <row r="43" spans="1:17" ht="15" x14ac:dyDescent="0.25">
      <c r="A43" s="182"/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4"/>
      <c r="O43" s="185"/>
    </row>
    <row r="44" spans="1:17" ht="15.75" thickBot="1" x14ac:dyDescent="0.3">
      <c r="A44" s="283"/>
      <c r="B44" s="284"/>
      <c r="C44" s="284"/>
      <c r="D44" s="284"/>
      <c r="E44" s="284"/>
      <c r="F44" s="284"/>
      <c r="G44" s="284"/>
      <c r="H44" s="284"/>
      <c r="I44" s="284"/>
      <c r="J44" s="284"/>
      <c r="K44" s="284"/>
      <c r="L44" s="284"/>
      <c r="M44" s="284"/>
      <c r="N44" s="284"/>
      <c r="O44" s="285"/>
    </row>
    <row r="45" spans="1:17" ht="5.25" customHeight="1" x14ac:dyDescent="0.25">
      <c r="A45" s="250"/>
      <c r="B45" s="250"/>
      <c r="C45" s="250"/>
      <c r="D45" s="250"/>
      <c r="E45" s="250"/>
      <c r="F45" s="250"/>
      <c r="G45" s="250"/>
      <c r="H45" s="250"/>
      <c r="I45" s="250"/>
      <c r="J45" s="250"/>
      <c r="K45" s="250"/>
      <c r="L45" s="250"/>
      <c r="M45" s="250"/>
      <c r="N45" s="250"/>
      <c r="O45" s="250"/>
    </row>
    <row r="47" spans="1:17" ht="14.25" x14ac:dyDescent="0.2">
      <c r="Q47" s="40" t="s">
        <v>80</v>
      </c>
    </row>
    <row r="48" spans="1:17" ht="14.25" x14ac:dyDescent="0.2">
      <c r="Q48" s="40" t="s">
        <v>81</v>
      </c>
    </row>
    <row r="49" spans="17:17" ht="14.25" x14ac:dyDescent="0.2">
      <c r="Q49" s="40" t="s">
        <v>82</v>
      </c>
    </row>
    <row r="50" spans="17:17" ht="14.25" x14ac:dyDescent="0.2">
      <c r="Q50" s="40" t="s">
        <v>83</v>
      </c>
    </row>
    <row r="51" spans="17:17" ht="14.25" x14ac:dyDescent="0.2">
      <c r="Q51" s="40" t="s">
        <v>84</v>
      </c>
    </row>
    <row r="52" spans="17:17" ht="14.25" x14ac:dyDescent="0.2">
      <c r="Q52" s="40" t="s">
        <v>85</v>
      </c>
    </row>
    <row r="53" spans="17:17" ht="14.25" x14ac:dyDescent="0.2">
      <c r="Q53" s="40" t="s">
        <v>86</v>
      </c>
    </row>
    <row r="54" spans="17:17" ht="14.25" x14ac:dyDescent="0.2">
      <c r="Q54" s="40" t="s">
        <v>87</v>
      </c>
    </row>
    <row r="55" spans="17:17" ht="14.25" x14ac:dyDescent="0.2">
      <c r="Q55" s="40" t="s">
        <v>88</v>
      </c>
    </row>
    <row r="56" spans="17:17" ht="14.25" x14ac:dyDescent="0.2">
      <c r="Q56" s="40" t="s">
        <v>89</v>
      </c>
    </row>
    <row r="57" spans="17:17" ht="14.25" x14ac:dyDescent="0.2">
      <c r="Q57" s="40" t="s">
        <v>90</v>
      </c>
    </row>
    <row r="58" spans="17:17" ht="14.25" x14ac:dyDescent="0.2">
      <c r="Q58" s="40" t="s">
        <v>91</v>
      </c>
    </row>
    <row r="59" spans="17:17" ht="14.25" x14ac:dyDescent="0.2">
      <c r="Q59" s="40" t="s">
        <v>92</v>
      </c>
    </row>
    <row r="61" spans="17:17" x14ac:dyDescent="0.25">
      <c r="Q61" s="43">
        <v>32</v>
      </c>
    </row>
    <row r="62" spans="17:17" x14ac:dyDescent="0.25">
      <c r="Q62" s="43">
        <v>30</v>
      </c>
    </row>
  </sheetData>
  <mergeCells count="76">
    <mergeCell ref="A28:O28"/>
    <mergeCell ref="H25:K25"/>
    <mergeCell ref="A25:C26"/>
    <mergeCell ref="A11:D11"/>
    <mergeCell ref="F11:G11"/>
    <mergeCell ref="L25:O25"/>
    <mergeCell ref="A45:O45"/>
    <mergeCell ref="A1:C4"/>
    <mergeCell ref="D1:O1"/>
    <mergeCell ref="D4:O4"/>
    <mergeCell ref="A8:E8"/>
    <mergeCell ref="G8:O8"/>
    <mergeCell ref="A7:E7"/>
    <mergeCell ref="A5:E5"/>
    <mergeCell ref="F5:O5"/>
    <mergeCell ref="A6:E6"/>
    <mergeCell ref="F6:O6"/>
    <mergeCell ref="F7:O7"/>
    <mergeCell ref="A27:O27"/>
    <mergeCell ref="N10:O10"/>
    <mergeCell ref="J9:K10"/>
    <mergeCell ref="L9:O9"/>
    <mergeCell ref="L10:M10"/>
    <mergeCell ref="A9:D10"/>
    <mergeCell ref="E9:E10"/>
    <mergeCell ref="F9:G10"/>
    <mergeCell ref="H9:H10"/>
    <mergeCell ref="I9:I10"/>
    <mergeCell ref="A33:M33"/>
    <mergeCell ref="N33:O33"/>
    <mergeCell ref="J11:O11"/>
    <mergeCell ref="A12:O12"/>
    <mergeCell ref="A13:O13"/>
    <mergeCell ref="A14:O14"/>
    <mergeCell ref="A15:O15"/>
    <mergeCell ref="A18:B18"/>
    <mergeCell ref="A19:B19"/>
    <mergeCell ref="A20:A24"/>
    <mergeCell ref="A17:B17"/>
    <mergeCell ref="D25:G25"/>
    <mergeCell ref="D26:G26"/>
    <mergeCell ref="H26:K26"/>
    <mergeCell ref="L26:O26"/>
    <mergeCell ref="A16:B16"/>
    <mergeCell ref="A36:M36"/>
    <mergeCell ref="N36:O36"/>
    <mergeCell ref="A44:M44"/>
    <mergeCell ref="N44:O44"/>
    <mergeCell ref="A29:M29"/>
    <mergeCell ref="N29:O29"/>
    <mergeCell ref="A42:M42"/>
    <mergeCell ref="N42:O42"/>
    <mergeCell ref="A43:M43"/>
    <mergeCell ref="N43:O43"/>
    <mergeCell ref="A30:M30"/>
    <mergeCell ref="N30:O30"/>
    <mergeCell ref="A31:M31"/>
    <mergeCell ref="N31:O31"/>
    <mergeCell ref="A32:M32"/>
    <mergeCell ref="N32:O32"/>
    <mergeCell ref="D2:O2"/>
    <mergeCell ref="D3:O3"/>
    <mergeCell ref="A37:M37"/>
    <mergeCell ref="N37:O37"/>
    <mergeCell ref="A41:M41"/>
    <mergeCell ref="N41:O41"/>
    <mergeCell ref="A38:M38"/>
    <mergeCell ref="N38:O38"/>
    <mergeCell ref="A39:M39"/>
    <mergeCell ref="N39:O39"/>
    <mergeCell ref="A40:M40"/>
    <mergeCell ref="N40:O40"/>
    <mergeCell ref="A34:M34"/>
    <mergeCell ref="N34:O34"/>
    <mergeCell ref="A35:M35"/>
    <mergeCell ref="N35:O35"/>
  </mergeCells>
  <dataValidations count="1">
    <dataValidation type="list" allowBlank="1" showInputMessage="1" showErrorMessage="1" sqref="J11:O11" xr:uid="{00000000-0002-0000-0300-000000000000}">
      <formula1>$Q$47:$Q$59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X62"/>
  <sheetViews>
    <sheetView topLeftCell="A28" zoomScaleSheetLayoutView="72" workbookViewId="0">
      <selection activeCell="N30" sqref="N30:O41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3" width="9" style="2" bestFit="1" customWidth="1"/>
    <col min="4" max="4" width="10.140625" style="2" bestFit="1" customWidth="1"/>
    <col min="5" max="5" width="9.5703125" style="2" customWidth="1"/>
    <col min="6" max="8" width="9" style="2" bestFit="1" customWidth="1"/>
    <col min="9" max="9" width="8.85546875" style="2" customWidth="1"/>
    <col min="10" max="14" width="9" style="2" bestFit="1" customWidth="1"/>
    <col min="15" max="15" width="8" style="2" customWidth="1"/>
    <col min="16" max="16" width="9.140625" style="2" customWidth="1"/>
    <col min="17" max="18" width="9.140625" style="2" hidden="1" customWidth="1"/>
    <col min="19" max="19" width="9.140625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5" customHeight="1" x14ac:dyDescent="0.25">
      <c r="A1" s="195"/>
      <c r="B1" s="196"/>
      <c r="C1" s="196"/>
      <c r="D1" s="179" t="s">
        <v>251</v>
      </c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1"/>
    </row>
    <row r="2" spans="1:24" ht="10.5" customHeight="1" x14ac:dyDescent="0.25">
      <c r="A2" s="197"/>
      <c r="B2" s="198"/>
      <c r="C2" s="198"/>
      <c r="D2" s="308" t="s">
        <v>272</v>
      </c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10"/>
    </row>
    <row r="3" spans="1:24" ht="15" customHeight="1" x14ac:dyDescent="0.25">
      <c r="A3" s="197"/>
      <c r="B3" s="198"/>
      <c r="C3" s="198"/>
      <c r="D3" s="311" t="s">
        <v>20</v>
      </c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3"/>
    </row>
    <row r="4" spans="1:24" ht="14.25" customHeight="1" thickBot="1" x14ac:dyDescent="0.3">
      <c r="A4" s="199"/>
      <c r="B4" s="200"/>
      <c r="C4" s="200"/>
      <c r="D4" s="192" t="s">
        <v>269</v>
      </c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4"/>
    </row>
    <row r="5" spans="1:24" ht="13.5" customHeight="1" x14ac:dyDescent="0.25">
      <c r="A5" s="201" t="s">
        <v>0</v>
      </c>
      <c r="B5" s="202"/>
      <c r="C5" s="202"/>
      <c r="D5" s="202"/>
      <c r="E5" s="202"/>
      <c r="F5" s="202" t="str">
        <f>'SET SP Paicol'!J5</f>
        <v>GESTIÓN DE SERVICIOS PÚBLICOS - PAICOL</v>
      </c>
      <c r="G5" s="202"/>
      <c r="H5" s="202"/>
      <c r="I5" s="202"/>
      <c r="J5" s="202"/>
      <c r="K5" s="202"/>
      <c r="L5" s="202"/>
      <c r="M5" s="202"/>
      <c r="N5" s="202"/>
      <c r="O5" s="203"/>
    </row>
    <row r="6" spans="1:24" ht="15.75" customHeight="1" x14ac:dyDescent="0.25">
      <c r="A6" s="204" t="s">
        <v>1</v>
      </c>
      <c r="B6" s="205"/>
      <c r="C6" s="205"/>
      <c r="D6" s="205"/>
      <c r="E6" s="205"/>
      <c r="F6" s="206" t="str">
        <f>'SET SP Paicol'!$B11</f>
        <v>Ejecución de inversiones</v>
      </c>
      <c r="G6" s="206"/>
      <c r="H6" s="206"/>
      <c r="I6" s="206"/>
      <c r="J6" s="206"/>
      <c r="K6" s="206"/>
      <c r="L6" s="206"/>
      <c r="M6" s="206"/>
      <c r="N6" s="206"/>
      <c r="O6" s="272"/>
    </row>
    <row r="7" spans="1:24" ht="15.75" customHeight="1" x14ac:dyDescent="0.25">
      <c r="A7" s="204" t="s">
        <v>55</v>
      </c>
      <c r="B7" s="205"/>
      <c r="C7" s="205"/>
      <c r="D7" s="205"/>
      <c r="E7" s="205"/>
      <c r="F7" s="223" t="str">
        <f>'SET SP Paicol'!F11</f>
        <v xml:space="preserve">Eficiencia </v>
      </c>
      <c r="G7" s="224"/>
      <c r="H7" s="224"/>
      <c r="I7" s="224"/>
      <c r="J7" s="224"/>
      <c r="K7" s="224"/>
      <c r="L7" s="224"/>
      <c r="M7" s="224"/>
      <c r="N7" s="224"/>
      <c r="O7" s="225"/>
    </row>
    <row r="8" spans="1:24" ht="17.25" customHeight="1" thickBot="1" x14ac:dyDescent="0.3">
      <c r="A8" s="209" t="s">
        <v>21</v>
      </c>
      <c r="B8" s="210"/>
      <c r="C8" s="210"/>
      <c r="D8" s="210"/>
      <c r="E8" s="210"/>
      <c r="F8" s="23" t="s">
        <v>93</v>
      </c>
      <c r="G8" s="211" t="str">
        <f>'SET SP Paicol'!A11</f>
        <v>IN04</v>
      </c>
      <c r="H8" s="211"/>
      <c r="I8" s="211"/>
      <c r="J8" s="211"/>
      <c r="K8" s="211"/>
      <c r="L8" s="211"/>
      <c r="M8" s="211"/>
      <c r="N8" s="211"/>
      <c r="O8" s="276"/>
    </row>
    <row r="9" spans="1:24" ht="12.75" customHeight="1" x14ac:dyDescent="0.25">
      <c r="A9" s="214" t="s">
        <v>22</v>
      </c>
      <c r="B9" s="215"/>
      <c r="C9" s="215"/>
      <c r="D9" s="215"/>
      <c r="E9" s="218" t="s">
        <v>23</v>
      </c>
      <c r="F9" s="218" t="s">
        <v>24</v>
      </c>
      <c r="G9" s="218"/>
      <c r="H9" s="218" t="s">
        <v>25</v>
      </c>
      <c r="I9" s="218" t="s">
        <v>26</v>
      </c>
      <c r="J9" s="218" t="s">
        <v>27</v>
      </c>
      <c r="K9" s="218"/>
      <c r="L9" s="220" t="s">
        <v>28</v>
      </c>
      <c r="M9" s="220"/>
      <c r="N9" s="220"/>
      <c r="O9" s="221"/>
    </row>
    <row r="10" spans="1:24" ht="46.5" customHeight="1" x14ac:dyDescent="0.25">
      <c r="A10" s="216"/>
      <c r="B10" s="217"/>
      <c r="C10" s="217"/>
      <c r="D10" s="217"/>
      <c r="E10" s="219"/>
      <c r="F10" s="219"/>
      <c r="G10" s="219"/>
      <c r="H10" s="219"/>
      <c r="I10" s="219"/>
      <c r="J10" s="219"/>
      <c r="K10" s="219"/>
      <c r="L10" s="217" t="s">
        <v>29</v>
      </c>
      <c r="M10" s="217"/>
      <c r="N10" s="217" t="s">
        <v>30</v>
      </c>
      <c r="O10" s="222"/>
    </row>
    <row r="11" spans="1:24" ht="36.75" customHeight="1" thickBot="1" x14ac:dyDescent="0.3">
      <c r="A11" s="226" t="str">
        <f>'SET SP Paicol'!$C11</f>
        <v>Realizar el seguimiento a la ejecución de la inversión establecida para la vigencia fiscal respectiva.</v>
      </c>
      <c r="B11" s="227"/>
      <c r="C11" s="227"/>
      <c r="D11" s="227"/>
      <c r="E11" s="14" t="s">
        <v>35</v>
      </c>
      <c r="F11" s="227" t="str">
        <f>'SET SP Paicol'!$D11</f>
        <v xml:space="preserve">(Inversión realizada / Inversión presupuestada) x 100% </v>
      </c>
      <c r="G11" s="227"/>
      <c r="H11" s="30">
        <f>$O18</f>
        <v>1</v>
      </c>
      <c r="I11" s="13" t="str">
        <f>'SET SP Paicol'!$E11</f>
        <v>Trimestral</v>
      </c>
      <c r="J11" s="228" t="s">
        <v>88</v>
      </c>
      <c r="K11" s="229"/>
      <c r="L11" s="229"/>
      <c r="M11" s="229"/>
      <c r="N11" s="229"/>
      <c r="O11" s="230"/>
    </row>
    <row r="12" spans="1:24" ht="13.5" customHeight="1" x14ac:dyDescent="0.25">
      <c r="A12" s="236" t="s">
        <v>38</v>
      </c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8"/>
    </row>
    <row r="13" spans="1:24" ht="21.75" customHeight="1" thickBot="1" x14ac:dyDescent="0.3">
      <c r="A13" s="239"/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1"/>
    </row>
    <row r="14" spans="1:24" ht="15" customHeight="1" thickBot="1" x14ac:dyDescent="0.3">
      <c r="A14" s="288" t="s">
        <v>31</v>
      </c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  <c r="N14" s="289"/>
      <c r="O14" s="290"/>
      <c r="V14" s="7"/>
      <c r="W14" s="6"/>
      <c r="X14" s="6"/>
    </row>
    <row r="15" spans="1:24" ht="16.5" customHeight="1" x14ac:dyDescent="0.25">
      <c r="A15" s="245" t="s">
        <v>267</v>
      </c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7"/>
      <c r="V15" s="7"/>
      <c r="W15" s="8"/>
      <c r="X15" s="8"/>
    </row>
    <row r="16" spans="1:24" ht="16.5" customHeight="1" x14ac:dyDescent="0.25">
      <c r="A16" s="248" t="s">
        <v>32</v>
      </c>
      <c r="B16" s="249"/>
      <c r="C16" s="66" t="s">
        <v>8</v>
      </c>
      <c r="D16" s="66" t="s">
        <v>9</v>
      </c>
      <c r="E16" s="66" t="s">
        <v>10</v>
      </c>
      <c r="F16" s="66" t="s">
        <v>11</v>
      </c>
      <c r="G16" s="66" t="s">
        <v>12</v>
      </c>
      <c r="H16" s="66" t="s">
        <v>13</v>
      </c>
      <c r="I16" s="66" t="s">
        <v>14</v>
      </c>
      <c r="J16" s="66" t="s">
        <v>15</v>
      </c>
      <c r="K16" s="66" t="s">
        <v>16</v>
      </c>
      <c r="L16" s="66" t="s">
        <v>17</v>
      </c>
      <c r="M16" s="66" t="s">
        <v>18</v>
      </c>
      <c r="N16" s="66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57" t="s">
        <v>39</v>
      </c>
      <c r="B17" s="258"/>
      <c r="C17" s="54">
        <f t="shared" ref="C17:N17" si="0">$O$17</f>
        <v>0.92</v>
      </c>
      <c r="D17" s="54">
        <f t="shared" si="0"/>
        <v>0.92</v>
      </c>
      <c r="E17" s="54">
        <f t="shared" si="0"/>
        <v>0.92</v>
      </c>
      <c r="F17" s="54">
        <f t="shared" si="0"/>
        <v>0.92</v>
      </c>
      <c r="G17" s="54">
        <f t="shared" si="0"/>
        <v>0.92</v>
      </c>
      <c r="H17" s="54">
        <f t="shared" si="0"/>
        <v>0.92</v>
      </c>
      <c r="I17" s="54">
        <f t="shared" si="0"/>
        <v>0.92</v>
      </c>
      <c r="J17" s="54">
        <f t="shared" si="0"/>
        <v>0.92</v>
      </c>
      <c r="K17" s="54">
        <f t="shared" si="0"/>
        <v>0.92</v>
      </c>
      <c r="L17" s="54">
        <f t="shared" si="0"/>
        <v>0.92</v>
      </c>
      <c r="M17" s="54">
        <f t="shared" si="0"/>
        <v>0.92</v>
      </c>
      <c r="N17" s="54">
        <f t="shared" si="0"/>
        <v>0.92</v>
      </c>
      <c r="O17" s="112">
        <f>'SET SP Paicol'!J11</f>
        <v>0.92</v>
      </c>
      <c r="V17" s="7"/>
      <c r="W17" s="8"/>
      <c r="X17" s="8"/>
    </row>
    <row r="18" spans="1:24" ht="17.25" customHeight="1" x14ac:dyDescent="0.25">
      <c r="A18" s="257" t="s">
        <v>268</v>
      </c>
      <c r="B18" s="258"/>
      <c r="C18" s="54">
        <f t="shared" ref="C18:N18" si="1">$O$18</f>
        <v>1</v>
      </c>
      <c r="D18" s="54">
        <f t="shared" si="1"/>
        <v>1</v>
      </c>
      <c r="E18" s="54">
        <f t="shared" si="1"/>
        <v>1</v>
      </c>
      <c r="F18" s="54">
        <f t="shared" si="1"/>
        <v>1</v>
      </c>
      <c r="G18" s="54">
        <f t="shared" si="1"/>
        <v>1</v>
      </c>
      <c r="H18" s="54">
        <f t="shared" si="1"/>
        <v>1</v>
      </c>
      <c r="I18" s="54">
        <f t="shared" si="1"/>
        <v>1</v>
      </c>
      <c r="J18" s="54">
        <f t="shared" si="1"/>
        <v>1</v>
      </c>
      <c r="K18" s="54">
        <f t="shared" si="1"/>
        <v>1</v>
      </c>
      <c r="L18" s="54">
        <f t="shared" si="1"/>
        <v>1</v>
      </c>
      <c r="M18" s="54">
        <f t="shared" si="1"/>
        <v>1</v>
      </c>
      <c r="N18" s="54">
        <f t="shared" si="1"/>
        <v>1</v>
      </c>
      <c r="O18" s="112">
        <f>'SET SP Paicol'!K11</f>
        <v>1</v>
      </c>
      <c r="V18" s="7"/>
      <c r="W18" s="8"/>
      <c r="X18" s="8"/>
    </row>
    <row r="19" spans="1:24" ht="17.25" customHeight="1" x14ac:dyDescent="0.25">
      <c r="A19" s="261" t="s">
        <v>263</v>
      </c>
      <c r="B19" s="262"/>
      <c r="C19" s="10" t="str">
        <f t="shared" ref="C19:O19" si="2">IF((C22),C21/C22,"-")</f>
        <v>-</v>
      </c>
      <c r="D19" s="10" t="str">
        <f t="shared" si="2"/>
        <v>-</v>
      </c>
      <c r="E19" s="10" t="str">
        <f t="shared" si="2"/>
        <v>-</v>
      </c>
      <c r="F19" s="10" t="str">
        <f t="shared" si="2"/>
        <v>-</v>
      </c>
      <c r="G19" s="10" t="str">
        <f t="shared" si="2"/>
        <v>-</v>
      </c>
      <c r="H19" s="10" t="str">
        <f t="shared" si="2"/>
        <v>-</v>
      </c>
      <c r="I19" s="10" t="str">
        <f t="shared" si="2"/>
        <v>-</v>
      </c>
      <c r="J19" s="10" t="str">
        <f t="shared" si="2"/>
        <v>-</v>
      </c>
      <c r="K19" s="10" t="str">
        <f t="shared" si="2"/>
        <v>-</v>
      </c>
      <c r="L19" s="10" t="str">
        <f t="shared" si="2"/>
        <v>-</v>
      </c>
      <c r="M19" s="10" t="str">
        <f t="shared" si="2"/>
        <v>-</v>
      </c>
      <c r="N19" s="10" t="str">
        <f t="shared" si="2"/>
        <v>-</v>
      </c>
      <c r="O19" s="11" t="str">
        <f t="shared" si="2"/>
        <v>-</v>
      </c>
      <c r="V19" s="7"/>
      <c r="W19" s="8"/>
      <c r="X19" s="8"/>
    </row>
    <row r="20" spans="1:24" ht="17.25" customHeight="1" x14ac:dyDescent="0.25">
      <c r="A20" s="263" t="s">
        <v>37</v>
      </c>
      <c r="B20" s="31" t="s">
        <v>171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49">
        <v>0</v>
      </c>
      <c r="I20" s="49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51">
        <f>SUM(C20:N20)</f>
        <v>0</v>
      </c>
      <c r="V20" s="7"/>
      <c r="W20" s="8"/>
      <c r="X20" s="8"/>
    </row>
    <row r="21" spans="1:24" ht="17.25" customHeight="1" x14ac:dyDescent="0.25">
      <c r="A21" s="263"/>
      <c r="B21" s="31" t="s">
        <v>172</v>
      </c>
      <c r="C21" s="49">
        <f>C20</f>
        <v>0</v>
      </c>
      <c r="D21" s="49">
        <f>C21+D20</f>
        <v>0</v>
      </c>
      <c r="E21" s="49">
        <f t="shared" ref="E21:J21" si="3">D21+E20</f>
        <v>0</v>
      </c>
      <c r="F21" s="49">
        <f t="shared" si="3"/>
        <v>0</v>
      </c>
      <c r="G21" s="49">
        <f t="shared" si="3"/>
        <v>0</v>
      </c>
      <c r="H21" s="49">
        <f t="shared" si="3"/>
        <v>0</v>
      </c>
      <c r="I21" s="49">
        <f t="shared" si="3"/>
        <v>0</v>
      </c>
      <c r="J21" s="49">
        <f t="shared" si="3"/>
        <v>0</v>
      </c>
      <c r="K21" s="49">
        <f t="shared" ref="K21" si="4">J21+K20</f>
        <v>0</v>
      </c>
      <c r="L21" s="49">
        <f t="shared" ref="L21" si="5">K21+L20</f>
        <v>0</v>
      </c>
      <c r="M21" s="49">
        <f t="shared" ref="M21" si="6">L21+M20</f>
        <v>0</v>
      </c>
      <c r="N21" s="49">
        <f t="shared" ref="N21" si="7">M21+N20</f>
        <v>0</v>
      </c>
      <c r="O21" s="51">
        <f>MAX(C21:N21)</f>
        <v>0</v>
      </c>
      <c r="V21" s="7"/>
      <c r="W21" s="8"/>
      <c r="X21" s="8"/>
    </row>
    <row r="22" spans="1:24" ht="13.5" customHeight="1" x14ac:dyDescent="0.25">
      <c r="A22" s="263"/>
      <c r="B22" s="31" t="s">
        <v>135</v>
      </c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51">
        <f>MAX(C22:N22)</f>
        <v>0</v>
      </c>
      <c r="V22" s="7"/>
      <c r="W22" s="8"/>
      <c r="X22" s="8"/>
    </row>
    <row r="23" spans="1:24" ht="17.25" customHeight="1" x14ac:dyDescent="0.25">
      <c r="A23" s="263"/>
      <c r="B23" s="65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16"/>
      <c r="V23" s="7"/>
      <c r="W23" s="8"/>
      <c r="X23" s="8"/>
    </row>
    <row r="24" spans="1:24" ht="18" customHeight="1" thickBot="1" x14ac:dyDescent="0.3">
      <c r="A24" s="264"/>
      <c r="B24" s="67" t="s">
        <v>3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V24" s="7"/>
      <c r="W24" s="8"/>
      <c r="X24" s="8"/>
    </row>
    <row r="25" spans="1:24" ht="14.25" customHeight="1" thickBot="1" x14ac:dyDescent="0.3">
      <c r="A25" s="265" t="s">
        <v>34</v>
      </c>
      <c r="B25" s="266"/>
      <c r="C25" s="267"/>
      <c r="D25" s="254" t="str">
        <f>'SET SP Paicol'!$G11</f>
        <v>Entre 80% y 100%</v>
      </c>
      <c r="E25" s="255"/>
      <c r="F25" s="255"/>
      <c r="G25" s="256"/>
      <c r="H25" s="254" t="str">
        <f>'SET SP Paicol'!$H11</f>
        <v>Entre 60% y 79%</v>
      </c>
      <c r="I25" s="255"/>
      <c r="J25" s="255"/>
      <c r="K25" s="256"/>
      <c r="L25" s="254" t="str">
        <f>'SET SP Paicol'!$I11</f>
        <v>Menor al 59%</v>
      </c>
      <c r="M25" s="259"/>
      <c r="N25" s="259"/>
      <c r="O25" s="260"/>
      <c r="V25" s="7"/>
      <c r="W25" s="8"/>
      <c r="X25" s="8"/>
    </row>
    <row r="26" spans="1:24" ht="33" customHeight="1" thickBot="1" x14ac:dyDescent="0.3">
      <c r="A26" s="268"/>
      <c r="B26" s="269"/>
      <c r="C26" s="269"/>
      <c r="D26" s="270" t="s">
        <v>7</v>
      </c>
      <c r="E26" s="270"/>
      <c r="F26" s="270"/>
      <c r="G26" s="270"/>
      <c r="H26" s="271" t="s">
        <v>61</v>
      </c>
      <c r="I26" s="271"/>
      <c r="J26" s="271"/>
      <c r="K26" s="271"/>
      <c r="L26" s="231" t="s">
        <v>62</v>
      </c>
      <c r="M26" s="231"/>
      <c r="N26" s="231"/>
      <c r="O26" s="232"/>
      <c r="V26" s="7"/>
      <c r="W26" s="8"/>
      <c r="X26" s="8"/>
    </row>
    <row r="27" spans="1:24" ht="15.75" customHeight="1" thickBot="1" x14ac:dyDescent="0.3">
      <c r="A27" s="233" t="s">
        <v>36</v>
      </c>
      <c r="B27" s="234"/>
      <c r="C27" s="234"/>
      <c r="D27" s="234"/>
      <c r="E27" s="234"/>
      <c r="F27" s="234"/>
      <c r="G27" s="234"/>
      <c r="H27" s="234"/>
      <c r="I27" s="234"/>
      <c r="J27" s="234"/>
      <c r="K27" s="234"/>
      <c r="L27" s="234"/>
      <c r="M27" s="234"/>
      <c r="N27" s="234"/>
      <c r="O27" s="235"/>
      <c r="V27" s="7"/>
      <c r="W27" s="8"/>
      <c r="X27" s="8"/>
    </row>
    <row r="28" spans="1:24" ht="264.75" customHeight="1" thickBot="1" x14ac:dyDescent="0.3">
      <c r="A28" s="251"/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  <c r="O28" s="253"/>
      <c r="V28" s="7"/>
    </row>
    <row r="29" spans="1:24" ht="15" customHeight="1" x14ac:dyDescent="0.25">
      <c r="A29" s="188" t="s">
        <v>58</v>
      </c>
      <c r="B29" s="189"/>
      <c r="C29" s="189"/>
      <c r="D29" s="189"/>
      <c r="E29" s="189"/>
      <c r="F29" s="189"/>
      <c r="G29" s="189"/>
      <c r="H29" s="189"/>
      <c r="I29" s="189"/>
      <c r="J29" s="189"/>
      <c r="K29" s="189"/>
      <c r="L29" s="189"/>
      <c r="M29" s="189"/>
      <c r="N29" s="190" t="s">
        <v>60</v>
      </c>
      <c r="O29" s="191"/>
    </row>
    <row r="30" spans="1:24" ht="15" customHeight="1" x14ac:dyDescent="0.25">
      <c r="A30" s="182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6">
        <v>45658</v>
      </c>
      <c r="O30" s="187"/>
    </row>
    <row r="31" spans="1:24" ht="15" customHeight="1" x14ac:dyDescent="0.25">
      <c r="A31" s="182"/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6">
        <v>45689</v>
      </c>
      <c r="O31" s="187"/>
    </row>
    <row r="32" spans="1:24" ht="15" customHeight="1" x14ac:dyDescent="0.25">
      <c r="A32" s="182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6">
        <v>45717</v>
      </c>
      <c r="O32" s="187"/>
    </row>
    <row r="33" spans="1:17" ht="15" customHeight="1" x14ac:dyDescent="0.25">
      <c r="A33" s="182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6">
        <v>45748</v>
      </c>
      <c r="O33" s="187"/>
    </row>
    <row r="34" spans="1:17" ht="15" customHeight="1" x14ac:dyDescent="0.25">
      <c r="A34" s="182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6">
        <v>45778</v>
      </c>
      <c r="O34" s="187"/>
    </row>
    <row r="35" spans="1:17" ht="15" customHeight="1" x14ac:dyDescent="0.25">
      <c r="A35" s="182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6">
        <v>45809</v>
      </c>
      <c r="O35" s="187"/>
    </row>
    <row r="36" spans="1:17" ht="15" customHeight="1" x14ac:dyDescent="0.25">
      <c r="A36" s="182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6">
        <v>45839</v>
      </c>
      <c r="O36" s="187"/>
    </row>
    <row r="37" spans="1:17" ht="15" customHeight="1" x14ac:dyDescent="0.25">
      <c r="A37" s="182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6">
        <v>45870</v>
      </c>
      <c r="O37" s="187"/>
    </row>
    <row r="38" spans="1:17" ht="15" customHeight="1" x14ac:dyDescent="0.25">
      <c r="A38" s="182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6">
        <v>45901</v>
      </c>
      <c r="O38" s="187"/>
    </row>
    <row r="39" spans="1:17" ht="15" customHeight="1" x14ac:dyDescent="0.25">
      <c r="A39" s="182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6">
        <v>45931</v>
      </c>
      <c r="O39" s="187"/>
    </row>
    <row r="40" spans="1:17" ht="15" customHeight="1" x14ac:dyDescent="0.25">
      <c r="A40" s="182"/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6">
        <v>45962</v>
      </c>
      <c r="O40" s="187"/>
    </row>
    <row r="41" spans="1:17" ht="15" customHeight="1" thickBot="1" x14ac:dyDescent="0.3">
      <c r="A41" s="182"/>
      <c r="B41" s="183"/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6">
        <v>45992</v>
      </c>
      <c r="O41" s="187"/>
    </row>
    <row r="42" spans="1:17" ht="19.5" customHeight="1" x14ac:dyDescent="0.25">
      <c r="A42" s="188" t="s">
        <v>59</v>
      </c>
      <c r="B42" s="189"/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90" t="s">
        <v>60</v>
      </c>
      <c r="O42" s="191"/>
    </row>
    <row r="43" spans="1:17" ht="14.25" customHeight="1" x14ac:dyDescent="0.25">
      <c r="A43" s="182"/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6"/>
      <c r="O43" s="187"/>
    </row>
    <row r="44" spans="1:17" ht="15.75" thickBot="1" x14ac:dyDescent="0.3">
      <c r="A44" s="283"/>
      <c r="B44" s="284"/>
      <c r="C44" s="284"/>
      <c r="D44" s="284"/>
      <c r="E44" s="284"/>
      <c r="F44" s="284"/>
      <c r="G44" s="284"/>
      <c r="H44" s="284"/>
      <c r="I44" s="284"/>
      <c r="J44" s="284"/>
      <c r="K44" s="284"/>
      <c r="L44" s="284"/>
      <c r="M44" s="284"/>
      <c r="N44" s="284"/>
      <c r="O44" s="285"/>
    </row>
    <row r="45" spans="1:17" ht="5.25" customHeight="1" x14ac:dyDescent="0.25">
      <c r="A45" s="250"/>
      <c r="B45" s="250"/>
      <c r="C45" s="250"/>
      <c r="D45" s="250"/>
      <c r="E45" s="250"/>
      <c r="F45" s="250"/>
      <c r="G45" s="250"/>
      <c r="H45" s="250"/>
      <c r="I45" s="250"/>
      <c r="J45" s="250"/>
      <c r="K45" s="250"/>
      <c r="L45" s="250"/>
      <c r="M45" s="250"/>
      <c r="N45" s="250"/>
      <c r="O45" s="250"/>
    </row>
    <row r="47" spans="1:17" ht="14.25" x14ac:dyDescent="0.2">
      <c r="Q47" s="40" t="s">
        <v>80</v>
      </c>
    </row>
    <row r="48" spans="1:17" ht="14.25" x14ac:dyDescent="0.2">
      <c r="Q48" s="40" t="s">
        <v>81</v>
      </c>
    </row>
    <row r="49" spans="17:17" ht="14.25" x14ac:dyDescent="0.2">
      <c r="Q49" s="40" t="s">
        <v>82</v>
      </c>
    </row>
    <row r="50" spans="17:17" ht="14.25" x14ac:dyDescent="0.2">
      <c r="Q50" s="40" t="s">
        <v>83</v>
      </c>
    </row>
    <row r="51" spans="17:17" ht="14.25" x14ac:dyDescent="0.2">
      <c r="Q51" s="40" t="s">
        <v>84</v>
      </c>
    </row>
    <row r="52" spans="17:17" ht="14.25" x14ac:dyDescent="0.2">
      <c r="Q52" s="40" t="s">
        <v>85</v>
      </c>
    </row>
    <row r="53" spans="17:17" ht="14.25" x14ac:dyDescent="0.2">
      <c r="Q53" s="40" t="s">
        <v>86</v>
      </c>
    </row>
    <row r="54" spans="17:17" ht="14.25" x14ac:dyDescent="0.2">
      <c r="Q54" s="40" t="s">
        <v>87</v>
      </c>
    </row>
    <row r="55" spans="17:17" ht="14.25" x14ac:dyDescent="0.2">
      <c r="Q55" s="40" t="s">
        <v>88</v>
      </c>
    </row>
    <row r="56" spans="17:17" ht="14.25" x14ac:dyDescent="0.2">
      <c r="Q56" s="40" t="s">
        <v>89</v>
      </c>
    </row>
    <row r="57" spans="17:17" ht="14.25" x14ac:dyDescent="0.2">
      <c r="Q57" s="40" t="s">
        <v>90</v>
      </c>
    </row>
    <row r="58" spans="17:17" ht="14.25" x14ac:dyDescent="0.2">
      <c r="Q58" s="40" t="s">
        <v>91</v>
      </c>
    </row>
    <row r="59" spans="17:17" ht="14.25" x14ac:dyDescent="0.2">
      <c r="Q59" s="40" t="s">
        <v>92</v>
      </c>
    </row>
    <row r="61" spans="17:17" x14ac:dyDescent="0.25">
      <c r="Q61" s="35">
        <v>0.92</v>
      </c>
    </row>
    <row r="62" spans="17:17" x14ac:dyDescent="0.25">
      <c r="Q62" s="35">
        <v>1</v>
      </c>
    </row>
  </sheetData>
  <mergeCells count="76">
    <mergeCell ref="A28:O28"/>
    <mergeCell ref="H25:K25"/>
    <mergeCell ref="A25:C26"/>
    <mergeCell ref="A11:D11"/>
    <mergeCell ref="F11:G11"/>
    <mergeCell ref="L25:O25"/>
    <mergeCell ref="A45:O45"/>
    <mergeCell ref="A1:C4"/>
    <mergeCell ref="D1:O1"/>
    <mergeCell ref="D4:O4"/>
    <mergeCell ref="A8:E8"/>
    <mergeCell ref="G8:O8"/>
    <mergeCell ref="A7:E7"/>
    <mergeCell ref="A5:E5"/>
    <mergeCell ref="F5:O5"/>
    <mergeCell ref="A6:E6"/>
    <mergeCell ref="F6:O6"/>
    <mergeCell ref="F7:O7"/>
    <mergeCell ref="A27:O27"/>
    <mergeCell ref="N10:O10"/>
    <mergeCell ref="J9:K10"/>
    <mergeCell ref="L9:O9"/>
    <mergeCell ref="L10:M10"/>
    <mergeCell ref="A9:D10"/>
    <mergeCell ref="E9:E10"/>
    <mergeCell ref="F9:G10"/>
    <mergeCell ref="H9:H10"/>
    <mergeCell ref="I9:I10"/>
    <mergeCell ref="A33:M33"/>
    <mergeCell ref="N33:O33"/>
    <mergeCell ref="J11:O11"/>
    <mergeCell ref="A12:O12"/>
    <mergeCell ref="A13:O13"/>
    <mergeCell ref="A14:O14"/>
    <mergeCell ref="A15:O15"/>
    <mergeCell ref="A18:B18"/>
    <mergeCell ref="A19:B19"/>
    <mergeCell ref="A20:A24"/>
    <mergeCell ref="A17:B17"/>
    <mergeCell ref="D25:G25"/>
    <mergeCell ref="D26:G26"/>
    <mergeCell ref="H26:K26"/>
    <mergeCell ref="L26:O26"/>
    <mergeCell ref="A16:B16"/>
    <mergeCell ref="A36:M36"/>
    <mergeCell ref="N36:O36"/>
    <mergeCell ref="A44:M44"/>
    <mergeCell ref="N44:O44"/>
    <mergeCell ref="A29:M29"/>
    <mergeCell ref="N29:O29"/>
    <mergeCell ref="A42:M42"/>
    <mergeCell ref="N42:O42"/>
    <mergeCell ref="A43:M43"/>
    <mergeCell ref="N43:O43"/>
    <mergeCell ref="A30:M30"/>
    <mergeCell ref="N30:O30"/>
    <mergeCell ref="A31:M31"/>
    <mergeCell ref="N31:O31"/>
    <mergeCell ref="A32:M32"/>
    <mergeCell ref="N32:O32"/>
    <mergeCell ref="D2:O2"/>
    <mergeCell ref="D3:O3"/>
    <mergeCell ref="A37:M37"/>
    <mergeCell ref="N37:O37"/>
    <mergeCell ref="A41:M41"/>
    <mergeCell ref="N41:O41"/>
    <mergeCell ref="A38:M38"/>
    <mergeCell ref="N38:O38"/>
    <mergeCell ref="A39:M39"/>
    <mergeCell ref="N39:O39"/>
    <mergeCell ref="A40:M40"/>
    <mergeCell ref="N40:O40"/>
    <mergeCell ref="A34:M34"/>
    <mergeCell ref="N34:O34"/>
    <mergeCell ref="A35:M35"/>
    <mergeCell ref="N35:O35"/>
  </mergeCells>
  <dataValidations count="1">
    <dataValidation type="list" allowBlank="1" showInputMessage="1" showErrorMessage="1" sqref="J11:O11" xr:uid="{00000000-0002-0000-0400-000000000000}">
      <formula1>$Q$47:$Q$59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X61"/>
  <sheetViews>
    <sheetView topLeftCell="A27"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6.42578125" style="2" customWidth="1"/>
    <col min="17" max="18" width="6.42578125" style="2" hidden="1" customWidth="1"/>
    <col min="19" max="19" width="6.42578125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4.25" customHeight="1" x14ac:dyDescent="0.25">
      <c r="A1" s="195"/>
      <c r="B1" s="196"/>
      <c r="C1" s="196"/>
      <c r="D1" s="179" t="s">
        <v>251</v>
      </c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1"/>
    </row>
    <row r="2" spans="1:24" ht="12.75" customHeight="1" x14ac:dyDescent="0.25">
      <c r="A2" s="197"/>
      <c r="B2" s="198"/>
      <c r="C2" s="198"/>
      <c r="D2" s="308" t="s">
        <v>272</v>
      </c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10"/>
    </row>
    <row r="3" spans="1:24" ht="14.25" customHeight="1" x14ac:dyDescent="0.25">
      <c r="A3" s="197"/>
      <c r="B3" s="198"/>
      <c r="C3" s="198"/>
      <c r="D3" s="311" t="s">
        <v>20</v>
      </c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3"/>
    </row>
    <row r="4" spans="1:24" ht="12" customHeight="1" thickBot="1" x14ac:dyDescent="0.3">
      <c r="A4" s="199"/>
      <c r="B4" s="200"/>
      <c r="C4" s="200"/>
      <c r="D4" s="192" t="s">
        <v>269</v>
      </c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4"/>
    </row>
    <row r="5" spans="1:24" ht="13.5" customHeight="1" x14ac:dyDescent="0.25">
      <c r="A5" s="201" t="s">
        <v>0</v>
      </c>
      <c r="B5" s="202"/>
      <c r="C5" s="202"/>
      <c r="D5" s="202"/>
      <c r="E5" s="202"/>
      <c r="F5" s="202" t="str">
        <f>'SET SP Paicol'!J5</f>
        <v>GESTIÓN DE SERVICIOS PÚBLICOS - PAICOL</v>
      </c>
      <c r="G5" s="202"/>
      <c r="H5" s="202"/>
      <c r="I5" s="202"/>
      <c r="J5" s="202"/>
      <c r="K5" s="202"/>
      <c r="L5" s="202"/>
      <c r="M5" s="202"/>
      <c r="N5" s="202"/>
      <c r="O5" s="203"/>
    </row>
    <row r="6" spans="1:24" ht="15.75" customHeight="1" x14ac:dyDescent="0.25">
      <c r="A6" s="204" t="s">
        <v>1</v>
      </c>
      <c r="B6" s="205"/>
      <c r="C6" s="205"/>
      <c r="D6" s="205"/>
      <c r="E6" s="205"/>
      <c r="F6" s="206" t="str">
        <f>'SET SP Paicol'!$B12</f>
        <v>Cobertura   (Acueducto)</v>
      </c>
      <c r="G6" s="206"/>
      <c r="H6" s="206"/>
      <c r="I6" s="206"/>
      <c r="J6" s="206"/>
      <c r="K6" s="206"/>
      <c r="L6" s="206"/>
      <c r="M6" s="206"/>
      <c r="N6" s="206"/>
      <c r="O6" s="272"/>
    </row>
    <row r="7" spans="1:24" ht="15.75" customHeight="1" x14ac:dyDescent="0.25">
      <c r="A7" s="204" t="s">
        <v>55</v>
      </c>
      <c r="B7" s="205"/>
      <c r="C7" s="205"/>
      <c r="D7" s="205"/>
      <c r="E7" s="205"/>
      <c r="F7" s="223" t="str">
        <f>'SET SP Paicol'!F12</f>
        <v xml:space="preserve">Eficiencia </v>
      </c>
      <c r="G7" s="224"/>
      <c r="H7" s="224"/>
      <c r="I7" s="224"/>
      <c r="J7" s="224"/>
      <c r="K7" s="224"/>
      <c r="L7" s="224"/>
      <c r="M7" s="224"/>
      <c r="N7" s="224"/>
      <c r="O7" s="225"/>
    </row>
    <row r="8" spans="1:24" ht="17.25" customHeight="1" thickBot="1" x14ac:dyDescent="0.3">
      <c r="A8" s="209" t="s">
        <v>21</v>
      </c>
      <c r="B8" s="210"/>
      <c r="C8" s="210"/>
      <c r="D8" s="210"/>
      <c r="E8" s="210"/>
      <c r="F8" s="23" t="s">
        <v>93</v>
      </c>
      <c r="G8" s="211" t="str">
        <f>'SET SP Paicol'!A12</f>
        <v>IN05</v>
      </c>
      <c r="H8" s="211"/>
      <c r="I8" s="211"/>
      <c r="J8" s="211"/>
      <c r="K8" s="211"/>
      <c r="L8" s="211"/>
      <c r="M8" s="211"/>
      <c r="N8" s="211"/>
      <c r="O8" s="276"/>
    </row>
    <row r="9" spans="1:24" ht="12.75" customHeight="1" x14ac:dyDescent="0.25">
      <c r="A9" s="214" t="s">
        <v>22</v>
      </c>
      <c r="B9" s="215"/>
      <c r="C9" s="215"/>
      <c r="D9" s="215"/>
      <c r="E9" s="218" t="s">
        <v>23</v>
      </c>
      <c r="F9" s="218" t="s">
        <v>24</v>
      </c>
      <c r="G9" s="218"/>
      <c r="H9" s="218" t="s">
        <v>25</v>
      </c>
      <c r="I9" s="218" t="s">
        <v>26</v>
      </c>
      <c r="J9" s="218" t="s">
        <v>27</v>
      </c>
      <c r="K9" s="218"/>
      <c r="L9" s="220" t="s">
        <v>28</v>
      </c>
      <c r="M9" s="220"/>
      <c r="N9" s="220"/>
      <c r="O9" s="221"/>
    </row>
    <row r="10" spans="1:24" ht="46.5" customHeight="1" x14ac:dyDescent="0.25">
      <c r="A10" s="216"/>
      <c r="B10" s="217"/>
      <c r="C10" s="217"/>
      <c r="D10" s="217"/>
      <c r="E10" s="219"/>
      <c r="F10" s="219"/>
      <c r="G10" s="219"/>
      <c r="H10" s="219"/>
      <c r="I10" s="219"/>
      <c r="J10" s="219"/>
      <c r="K10" s="219"/>
      <c r="L10" s="217" t="s">
        <v>29</v>
      </c>
      <c r="M10" s="217"/>
      <c r="N10" s="217" t="s">
        <v>30</v>
      </c>
      <c r="O10" s="222"/>
    </row>
    <row r="11" spans="1:24" ht="57.75" customHeight="1" thickBot="1" x14ac:dyDescent="0.3">
      <c r="A11" s="226" t="str">
        <f>'SET SP Paicol'!$C12</f>
        <v xml:space="preserve">Medir el grado de cobertura en   la prestación del servicio de acueducto administrado por Aguas del Huila. </v>
      </c>
      <c r="B11" s="227"/>
      <c r="C11" s="227"/>
      <c r="D11" s="227"/>
      <c r="E11" s="14" t="s">
        <v>35</v>
      </c>
      <c r="F11" s="227" t="str">
        <f>'SET SP Paicol'!$D12</f>
        <v xml:space="preserve">(Número de Suscriptores servicio de acueducto / Número de Domicilios) x 100% </v>
      </c>
      <c r="G11" s="227"/>
      <c r="H11" s="12">
        <f>$O18</f>
        <v>1</v>
      </c>
      <c r="I11" s="13" t="str">
        <f>'SET SP Paicol'!$E12</f>
        <v>Trimestral</v>
      </c>
      <c r="J11" s="228" t="s">
        <v>88</v>
      </c>
      <c r="K11" s="229"/>
      <c r="L11" s="229"/>
      <c r="M11" s="229"/>
      <c r="N11" s="229"/>
      <c r="O11" s="230"/>
    </row>
    <row r="12" spans="1:24" ht="13.5" customHeight="1" x14ac:dyDescent="0.25">
      <c r="A12" s="236" t="s">
        <v>38</v>
      </c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8"/>
    </row>
    <row r="13" spans="1:24" ht="21.75" customHeight="1" thickBot="1" x14ac:dyDescent="0.3">
      <c r="A13" s="239"/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1"/>
    </row>
    <row r="14" spans="1:24" ht="15" customHeight="1" thickBot="1" x14ac:dyDescent="0.3">
      <c r="A14" s="288" t="s">
        <v>31</v>
      </c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  <c r="N14" s="289"/>
      <c r="O14" s="290"/>
      <c r="V14" s="7"/>
      <c r="W14" s="6"/>
      <c r="X14" s="6"/>
    </row>
    <row r="15" spans="1:24" ht="16.5" customHeight="1" x14ac:dyDescent="0.25">
      <c r="A15" s="245" t="s">
        <v>267</v>
      </c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7"/>
      <c r="V15" s="7"/>
      <c r="W15" s="8"/>
      <c r="X15" s="8"/>
    </row>
    <row r="16" spans="1:24" ht="16.5" customHeight="1" x14ac:dyDescent="0.25">
      <c r="A16" s="248" t="s">
        <v>32</v>
      </c>
      <c r="B16" s="249"/>
      <c r="C16" s="66" t="s">
        <v>8</v>
      </c>
      <c r="D16" s="66" t="s">
        <v>9</v>
      </c>
      <c r="E16" s="66" t="s">
        <v>10</v>
      </c>
      <c r="F16" s="66" t="s">
        <v>11</v>
      </c>
      <c r="G16" s="66" t="s">
        <v>12</v>
      </c>
      <c r="H16" s="66" t="s">
        <v>13</v>
      </c>
      <c r="I16" s="66" t="s">
        <v>14</v>
      </c>
      <c r="J16" s="66" t="s">
        <v>15</v>
      </c>
      <c r="K16" s="66" t="s">
        <v>16</v>
      </c>
      <c r="L16" s="66" t="s">
        <v>17</v>
      </c>
      <c r="M16" s="66" t="s">
        <v>18</v>
      </c>
      <c r="N16" s="66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57" t="s">
        <v>39</v>
      </c>
      <c r="B17" s="258"/>
      <c r="C17" s="109">
        <f t="shared" ref="C17:N17" si="0">$O$17</f>
        <v>0.99</v>
      </c>
      <c r="D17" s="109">
        <f t="shared" si="0"/>
        <v>0.99</v>
      </c>
      <c r="E17" s="109">
        <f t="shared" si="0"/>
        <v>0.99</v>
      </c>
      <c r="F17" s="109">
        <f t="shared" si="0"/>
        <v>0.99</v>
      </c>
      <c r="G17" s="109">
        <f t="shared" si="0"/>
        <v>0.99</v>
      </c>
      <c r="H17" s="109">
        <f t="shared" si="0"/>
        <v>0.99</v>
      </c>
      <c r="I17" s="109">
        <f t="shared" si="0"/>
        <v>0.99</v>
      </c>
      <c r="J17" s="109">
        <f t="shared" si="0"/>
        <v>0.99</v>
      </c>
      <c r="K17" s="109">
        <f t="shared" si="0"/>
        <v>0.99</v>
      </c>
      <c r="L17" s="109">
        <f t="shared" si="0"/>
        <v>0.99</v>
      </c>
      <c r="M17" s="109">
        <f t="shared" si="0"/>
        <v>0.99</v>
      </c>
      <c r="N17" s="109">
        <f t="shared" si="0"/>
        <v>0.99</v>
      </c>
      <c r="O17" s="113">
        <f>'SET SP Paicol'!J12</f>
        <v>0.99</v>
      </c>
      <c r="V17" s="7"/>
      <c r="W17" s="8"/>
      <c r="X17" s="8"/>
    </row>
    <row r="18" spans="1:24" ht="17.25" customHeight="1" x14ac:dyDescent="0.25">
      <c r="A18" s="257" t="s">
        <v>268</v>
      </c>
      <c r="B18" s="258"/>
      <c r="C18" s="109">
        <f t="shared" ref="C18:N18" si="1">$O$18</f>
        <v>1</v>
      </c>
      <c r="D18" s="109">
        <f t="shared" si="1"/>
        <v>1</v>
      </c>
      <c r="E18" s="109">
        <f t="shared" si="1"/>
        <v>1</v>
      </c>
      <c r="F18" s="109">
        <f t="shared" si="1"/>
        <v>1</v>
      </c>
      <c r="G18" s="109">
        <f t="shared" si="1"/>
        <v>1</v>
      </c>
      <c r="H18" s="109">
        <f t="shared" si="1"/>
        <v>1</v>
      </c>
      <c r="I18" s="109">
        <f t="shared" si="1"/>
        <v>1</v>
      </c>
      <c r="J18" s="109">
        <f t="shared" si="1"/>
        <v>1</v>
      </c>
      <c r="K18" s="109">
        <f t="shared" si="1"/>
        <v>1</v>
      </c>
      <c r="L18" s="109">
        <f t="shared" si="1"/>
        <v>1</v>
      </c>
      <c r="M18" s="109">
        <f t="shared" si="1"/>
        <v>1</v>
      </c>
      <c r="N18" s="109">
        <f t="shared" si="1"/>
        <v>1</v>
      </c>
      <c r="O18" s="113">
        <f>'SET SP Paicol'!K12</f>
        <v>1</v>
      </c>
      <c r="V18" s="7"/>
      <c r="W18" s="8"/>
      <c r="X18" s="8"/>
    </row>
    <row r="19" spans="1:24" ht="17.25" customHeight="1" x14ac:dyDescent="0.25">
      <c r="A19" s="261" t="s">
        <v>263</v>
      </c>
      <c r="B19" s="262"/>
      <c r="C19" s="10" t="str">
        <f t="shared" ref="C19:E19" si="2">IF((C21),C20/C21,"-")</f>
        <v>-</v>
      </c>
      <c r="D19" s="10" t="str">
        <f t="shared" si="2"/>
        <v>-</v>
      </c>
      <c r="E19" s="10" t="str">
        <f t="shared" si="2"/>
        <v>-</v>
      </c>
      <c r="F19" s="10" t="str">
        <f>IF((F21),F20/F21,"-")</f>
        <v>-</v>
      </c>
      <c r="G19" s="10" t="str">
        <f t="shared" ref="G19:O19" si="3">IF((G21),G20/G21,"-")</f>
        <v>-</v>
      </c>
      <c r="H19" s="10" t="str">
        <f t="shared" si="3"/>
        <v>-</v>
      </c>
      <c r="I19" s="10" t="str">
        <f t="shared" si="3"/>
        <v>-</v>
      </c>
      <c r="J19" s="10" t="str">
        <f t="shared" si="3"/>
        <v>-</v>
      </c>
      <c r="K19" s="10" t="str">
        <f t="shared" si="3"/>
        <v>-</v>
      </c>
      <c r="L19" s="10" t="str">
        <f t="shared" si="3"/>
        <v>-</v>
      </c>
      <c r="M19" s="10" t="str">
        <f t="shared" si="3"/>
        <v>-</v>
      </c>
      <c r="N19" s="10">
        <f t="shared" si="3"/>
        <v>0.98167539267015702</v>
      </c>
      <c r="O19" s="11">
        <f t="shared" si="3"/>
        <v>4.8525305410122161</v>
      </c>
      <c r="V19" s="7"/>
      <c r="W19" s="8"/>
      <c r="X19" s="8"/>
    </row>
    <row r="20" spans="1:24" ht="21" customHeight="1" x14ac:dyDescent="0.25">
      <c r="A20" s="263" t="s">
        <v>37</v>
      </c>
      <c r="B20" s="31" t="s">
        <v>258</v>
      </c>
      <c r="C20" s="20">
        <f>PAICOL2020!D$6</f>
        <v>1110</v>
      </c>
      <c r="D20" s="20">
        <f>PAICOL2020!E$6</f>
        <v>1109</v>
      </c>
      <c r="E20" s="20">
        <f>PAICOL2020!F$6</f>
        <v>1110</v>
      </c>
      <c r="F20" s="20">
        <f>PAICOL2020!G$6</f>
        <v>1107</v>
      </c>
      <c r="G20" s="20">
        <f>PAICOL2020!H$6</f>
        <v>0</v>
      </c>
      <c r="H20" s="20">
        <f>PAICOL2020!I$6</f>
        <v>0</v>
      </c>
      <c r="I20" s="20">
        <f>PAICOL2020!J$6</f>
        <v>0</v>
      </c>
      <c r="J20" s="20">
        <f>PAICOL2020!K$6</f>
        <v>0</v>
      </c>
      <c r="K20" s="20">
        <f>PAICOL2020!L$6</f>
        <v>0</v>
      </c>
      <c r="L20" s="20">
        <f>PAICOL2020!M$6</f>
        <v>0</v>
      </c>
      <c r="M20" s="20">
        <f>PAICOL2020!N$6</f>
        <v>0</v>
      </c>
      <c r="N20" s="20">
        <f>PAICOL2020!O$6</f>
        <v>1125</v>
      </c>
      <c r="O20" s="21">
        <f>SUM(C20:N20)</f>
        <v>5561</v>
      </c>
      <c r="V20" s="7"/>
      <c r="W20" s="8"/>
      <c r="X20" s="8"/>
    </row>
    <row r="21" spans="1:24" ht="15.75" customHeight="1" x14ac:dyDescent="0.25">
      <c r="A21" s="263"/>
      <c r="B21" s="31" t="s">
        <v>137</v>
      </c>
      <c r="C21" s="20">
        <f>PAICOL2020!D$5</f>
        <v>0</v>
      </c>
      <c r="D21" s="20">
        <f>PAICOL2020!E$5</f>
        <v>0</v>
      </c>
      <c r="E21" s="20">
        <f>PAICOL2020!F$5</f>
        <v>0</v>
      </c>
      <c r="F21" s="20">
        <f>PAICOL2020!G$5</f>
        <v>0</v>
      </c>
      <c r="G21" s="20">
        <f>PAICOL2020!H$5</f>
        <v>0</v>
      </c>
      <c r="H21" s="20">
        <f>PAICOL2020!I$5</f>
        <v>0</v>
      </c>
      <c r="I21" s="20">
        <f>PAICOL2020!J$5</f>
        <v>0</v>
      </c>
      <c r="J21" s="20">
        <f>PAICOL2020!K$5</f>
        <v>0</v>
      </c>
      <c r="K21" s="20">
        <f>PAICOL2020!L$5</f>
        <v>0</v>
      </c>
      <c r="L21" s="20">
        <f>PAICOL2020!M$5</f>
        <v>0</v>
      </c>
      <c r="M21" s="20">
        <f>PAICOL2020!N$5</f>
        <v>0</v>
      </c>
      <c r="N21" s="20">
        <f>PAICOL2020!O$5</f>
        <v>1146</v>
      </c>
      <c r="O21" s="21">
        <f>SUM(C21:N21)</f>
        <v>1146</v>
      </c>
      <c r="V21" s="7"/>
      <c r="W21" s="8"/>
      <c r="X21" s="8"/>
    </row>
    <row r="22" spans="1:24" ht="17.25" customHeight="1" x14ac:dyDescent="0.25">
      <c r="A22" s="263"/>
      <c r="B22" s="65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/>
      <c r="V22" s="7"/>
      <c r="W22" s="8"/>
      <c r="X22" s="8"/>
    </row>
    <row r="23" spans="1:24" ht="18" customHeight="1" thickBot="1" x14ac:dyDescent="0.3">
      <c r="A23" s="264"/>
      <c r="B23" s="67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65" t="s">
        <v>34</v>
      </c>
      <c r="B24" s="266"/>
      <c r="C24" s="267"/>
      <c r="D24" s="254" t="str">
        <f>'SET SP Paicol'!$G12</f>
        <v>Entre 80% y 100%</v>
      </c>
      <c r="E24" s="255"/>
      <c r="F24" s="255"/>
      <c r="G24" s="256"/>
      <c r="H24" s="254" t="str">
        <f>'SET SP Paicol'!$H12</f>
        <v>Entre 60% y 79%</v>
      </c>
      <c r="I24" s="255"/>
      <c r="J24" s="255"/>
      <c r="K24" s="256"/>
      <c r="L24" s="254" t="str">
        <f>'SET SP Paicol'!$I12</f>
        <v>Menor al 59%</v>
      </c>
      <c r="M24" s="259"/>
      <c r="N24" s="259"/>
      <c r="O24" s="260"/>
      <c r="V24" s="7"/>
      <c r="W24" s="8"/>
      <c r="X24" s="8"/>
    </row>
    <row r="25" spans="1:24" ht="33" customHeight="1" thickBot="1" x14ac:dyDescent="0.3">
      <c r="A25" s="268"/>
      <c r="B25" s="269"/>
      <c r="C25" s="269"/>
      <c r="D25" s="270" t="s">
        <v>7</v>
      </c>
      <c r="E25" s="270"/>
      <c r="F25" s="270"/>
      <c r="G25" s="270"/>
      <c r="H25" s="271" t="s">
        <v>61</v>
      </c>
      <c r="I25" s="271"/>
      <c r="J25" s="271"/>
      <c r="K25" s="271"/>
      <c r="L25" s="231" t="s">
        <v>62</v>
      </c>
      <c r="M25" s="231"/>
      <c r="N25" s="231"/>
      <c r="O25" s="232"/>
      <c r="V25" s="7"/>
      <c r="W25" s="8"/>
      <c r="X25" s="8"/>
    </row>
    <row r="26" spans="1:24" ht="15.75" customHeight="1" thickBot="1" x14ac:dyDescent="0.3">
      <c r="A26" s="233" t="s">
        <v>36</v>
      </c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5"/>
      <c r="V26" s="7"/>
      <c r="W26" s="8"/>
      <c r="X26" s="8"/>
    </row>
    <row r="27" spans="1:24" ht="264.75" customHeight="1" thickBot="1" x14ac:dyDescent="0.3">
      <c r="A27" s="251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3"/>
      <c r="V27" s="7"/>
    </row>
    <row r="28" spans="1:24" ht="15" customHeight="1" x14ac:dyDescent="0.25">
      <c r="A28" s="188" t="s">
        <v>58</v>
      </c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90" t="s">
        <v>60</v>
      </c>
      <c r="O28" s="191"/>
    </row>
    <row r="29" spans="1:24" ht="15" customHeight="1" x14ac:dyDescent="0.25">
      <c r="A29" s="182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6">
        <v>45658</v>
      </c>
      <c r="O29" s="187"/>
    </row>
    <row r="30" spans="1:24" ht="15" customHeight="1" x14ac:dyDescent="0.25">
      <c r="A30" s="182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6">
        <v>45689</v>
      </c>
      <c r="O30" s="187"/>
    </row>
    <row r="31" spans="1:24" ht="15" customHeight="1" x14ac:dyDescent="0.25">
      <c r="A31" s="182"/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6">
        <v>45717</v>
      </c>
      <c r="O31" s="187"/>
    </row>
    <row r="32" spans="1:24" ht="15" customHeight="1" x14ac:dyDescent="0.25">
      <c r="A32" s="182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6">
        <v>45748</v>
      </c>
      <c r="O32" s="187"/>
    </row>
    <row r="33" spans="1:17" ht="15" customHeight="1" x14ac:dyDescent="0.25">
      <c r="A33" s="182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6">
        <v>45778</v>
      </c>
      <c r="O33" s="187"/>
    </row>
    <row r="34" spans="1:17" ht="15" customHeight="1" x14ac:dyDescent="0.25">
      <c r="A34" s="182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6">
        <v>45809</v>
      </c>
      <c r="O34" s="187"/>
    </row>
    <row r="35" spans="1:17" ht="15" customHeight="1" x14ac:dyDescent="0.25">
      <c r="A35" s="182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6">
        <v>45839</v>
      </c>
      <c r="O35" s="187"/>
    </row>
    <row r="36" spans="1:17" ht="15" customHeight="1" x14ac:dyDescent="0.25">
      <c r="A36" s="182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6">
        <v>45870</v>
      </c>
      <c r="O36" s="187"/>
    </row>
    <row r="37" spans="1:17" ht="15" customHeight="1" x14ac:dyDescent="0.25">
      <c r="A37" s="182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6">
        <v>45901</v>
      </c>
      <c r="O37" s="187"/>
    </row>
    <row r="38" spans="1:17" ht="15" customHeight="1" x14ac:dyDescent="0.25">
      <c r="A38" s="182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6">
        <v>45931</v>
      </c>
      <c r="O38" s="187"/>
    </row>
    <row r="39" spans="1:17" ht="15" customHeight="1" x14ac:dyDescent="0.25">
      <c r="A39" s="182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6">
        <v>45962</v>
      </c>
      <c r="O39" s="187"/>
    </row>
    <row r="40" spans="1:17" ht="15" customHeight="1" thickBot="1" x14ac:dyDescent="0.3">
      <c r="A40" s="182"/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6">
        <v>45992</v>
      </c>
      <c r="O40" s="187"/>
    </row>
    <row r="41" spans="1:17" ht="19.5" customHeight="1" x14ac:dyDescent="0.25">
      <c r="A41" s="188" t="s">
        <v>59</v>
      </c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90" t="s">
        <v>60</v>
      </c>
      <c r="O41" s="191"/>
    </row>
    <row r="42" spans="1:17" ht="15" x14ac:dyDescent="0.25">
      <c r="A42" s="182" t="s">
        <v>3</v>
      </c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4"/>
      <c r="O42" s="185"/>
    </row>
    <row r="43" spans="1:17" ht="15.75" thickBot="1" x14ac:dyDescent="0.3">
      <c r="A43" s="283"/>
      <c r="B43" s="284"/>
      <c r="C43" s="284"/>
      <c r="D43" s="284"/>
      <c r="E43" s="284"/>
      <c r="F43" s="284"/>
      <c r="G43" s="284"/>
      <c r="H43" s="284"/>
      <c r="I43" s="284"/>
      <c r="J43" s="284"/>
      <c r="K43" s="284"/>
      <c r="L43" s="284"/>
      <c r="M43" s="284"/>
      <c r="N43" s="284"/>
      <c r="O43" s="285"/>
    </row>
    <row r="44" spans="1:17" ht="6" customHeight="1" x14ac:dyDescent="0.25">
      <c r="A44" s="250"/>
      <c r="B44" s="250"/>
      <c r="C44" s="250"/>
      <c r="D44" s="250"/>
      <c r="E44" s="250"/>
      <c r="F44" s="250"/>
      <c r="G44" s="250"/>
      <c r="H44" s="250"/>
      <c r="I44" s="250"/>
      <c r="J44" s="250"/>
      <c r="K44" s="250"/>
      <c r="L44" s="250"/>
      <c r="M44" s="250"/>
      <c r="N44" s="250"/>
      <c r="O44" s="250"/>
    </row>
    <row r="46" spans="1:17" ht="14.25" x14ac:dyDescent="0.2">
      <c r="Q46" s="40" t="s">
        <v>80</v>
      </c>
    </row>
    <row r="47" spans="1:17" ht="14.25" x14ac:dyDescent="0.2">
      <c r="Q47" s="40" t="s">
        <v>81</v>
      </c>
    </row>
    <row r="48" spans="1:17" ht="14.25" x14ac:dyDescent="0.2">
      <c r="Q48" s="40" t="s">
        <v>82</v>
      </c>
    </row>
    <row r="49" spans="17:17" ht="14.25" x14ac:dyDescent="0.2">
      <c r="Q49" s="40" t="s">
        <v>83</v>
      </c>
    </row>
    <row r="50" spans="17:17" ht="14.25" x14ac:dyDescent="0.2">
      <c r="Q50" s="40" t="s">
        <v>84</v>
      </c>
    </row>
    <row r="51" spans="17:17" ht="14.25" x14ac:dyDescent="0.2">
      <c r="Q51" s="40" t="s">
        <v>85</v>
      </c>
    </row>
    <row r="52" spans="17:17" ht="14.25" x14ac:dyDescent="0.2">
      <c r="Q52" s="40" t="s">
        <v>86</v>
      </c>
    </row>
    <row r="53" spans="17:17" ht="14.25" x14ac:dyDescent="0.2">
      <c r="Q53" s="40" t="s">
        <v>87</v>
      </c>
    </row>
    <row r="54" spans="17:17" ht="14.25" x14ac:dyDescent="0.2">
      <c r="Q54" s="40" t="s">
        <v>88</v>
      </c>
    </row>
    <row r="55" spans="17:17" ht="14.25" x14ac:dyDescent="0.2">
      <c r="Q55" s="40" t="s">
        <v>89</v>
      </c>
    </row>
    <row r="56" spans="17:17" ht="14.25" x14ac:dyDescent="0.2">
      <c r="Q56" s="40" t="s">
        <v>90</v>
      </c>
    </row>
    <row r="57" spans="17:17" ht="14.25" x14ac:dyDescent="0.2">
      <c r="Q57" s="40" t="s">
        <v>91</v>
      </c>
    </row>
    <row r="58" spans="17:17" ht="14.25" x14ac:dyDescent="0.2">
      <c r="Q58" s="40" t="s">
        <v>92</v>
      </c>
    </row>
    <row r="60" spans="17:17" x14ac:dyDescent="0.25">
      <c r="Q60" s="9">
        <v>0.92</v>
      </c>
    </row>
    <row r="61" spans="17:17" x14ac:dyDescent="0.25">
      <c r="Q61" s="9">
        <v>1</v>
      </c>
    </row>
  </sheetData>
  <mergeCells count="76">
    <mergeCell ref="A44:O44"/>
    <mergeCell ref="A27:O27"/>
    <mergeCell ref="H24:K24"/>
    <mergeCell ref="A24:C25"/>
    <mergeCell ref="D24:G24"/>
    <mergeCell ref="A26:O26"/>
    <mergeCell ref="A41:M41"/>
    <mergeCell ref="N41:O41"/>
    <mergeCell ref="A42:M42"/>
    <mergeCell ref="N42:O42"/>
    <mergeCell ref="A43:M43"/>
    <mergeCell ref="N43:O43"/>
    <mergeCell ref="A28:M28"/>
    <mergeCell ref="N28:O28"/>
    <mergeCell ref="A29:M29"/>
    <mergeCell ref="N29:O29"/>
    <mergeCell ref="A7:E7"/>
    <mergeCell ref="A18:B18"/>
    <mergeCell ref="A19:B19"/>
    <mergeCell ref="A20:A23"/>
    <mergeCell ref="A17:B17"/>
    <mergeCell ref="A12:O12"/>
    <mergeCell ref="J11:O11"/>
    <mergeCell ref="F7:O7"/>
    <mergeCell ref="A8:E8"/>
    <mergeCell ref="G8:O8"/>
    <mergeCell ref="A9:D10"/>
    <mergeCell ref="E9:E10"/>
    <mergeCell ref="F9:G10"/>
    <mergeCell ref="A14:O14"/>
    <mergeCell ref="A15:O15"/>
    <mergeCell ref="N10:O10"/>
    <mergeCell ref="A11:D11"/>
    <mergeCell ref="F11:G11"/>
    <mergeCell ref="L24:O24"/>
    <mergeCell ref="D25:G25"/>
    <mergeCell ref="H25:K25"/>
    <mergeCell ref="A13:O13"/>
    <mergeCell ref="A16:B16"/>
    <mergeCell ref="L25:O25"/>
    <mergeCell ref="I9:I10"/>
    <mergeCell ref="J9:K10"/>
    <mergeCell ref="L9:O9"/>
    <mergeCell ref="L10:M10"/>
    <mergeCell ref="H9:H10"/>
    <mergeCell ref="D1:O1"/>
    <mergeCell ref="D4:O4"/>
    <mergeCell ref="A5:E5"/>
    <mergeCell ref="F5:O5"/>
    <mergeCell ref="A6:E6"/>
    <mergeCell ref="F6:O6"/>
    <mergeCell ref="A1:C4"/>
    <mergeCell ref="D2:O2"/>
    <mergeCell ref="D3:O3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A39:M39"/>
    <mergeCell ref="N39:O39"/>
    <mergeCell ref="A40:M40"/>
    <mergeCell ref="N40:O40"/>
    <mergeCell ref="A36:M36"/>
    <mergeCell ref="N36:O36"/>
    <mergeCell ref="A37:M37"/>
    <mergeCell ref="N37:O37"/>
    <mergeCell ref="A38:M38"/>
    <mergeCell ref="N38:O38"/>
  </mergeCells>
  <dataValidations count="1">
    <dataValidation type="list" allowBlank="1" showInputMessage="1" showErrorMessage="1" sqref="J11:O11" xr:uid="{00000000-0002-0000-0500-000000000000}">
      <formula1>$Q$46:$Q$58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X61"/>
  <sheetViews>
    <sheetView topLeftCell="A27"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7" style="2" customWidth="1"/>
    <col min="17" max="18" width="7" style="2" hidden="1" customWidth="1"/>
    <col min="19" max="19" width="7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5.75" customHeight="1" x14ac:dyDescent="0.25">
      <c r="A1" s="195"/>
      <c r="B1" s="196"/>
      <c r="C1" s="196"/>
      <c r="D1" s="179" t="s">
        <v>251</v>
      </c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1"/>
    </row>
    <row r="2" spans="1:24" ht="12.75" customHeight="1" x14ac:dyDescent="0.25">
      <c r="A2" s="197"/>
      <c r="B2" s="198"/>
      <c r="C2" s="198"/>
      <c r="D2" s="308" t="s">
        <v>272</v>
      </c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10"/>
    </row>
    <row r="3" spans="1:24" ht="15.75" customHeight="1" x14ac:dyDescent="0.25">
      <c r="A3" s="197"/>
      <c r="B3" s="198"/>
      <c r="C3" s="198"/>
      <c r="D3" s="311" t="s">
        <v>20</v>
      </c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3"/>
    </row>
    <row r="4" spans="1:24" ht="12.75" customHeight="1" thickBot="1" x14ac:dyDescent="0.3">
      <c r="A4" s="199"/>
      <c r="B4" s="200"/>
      <c r="C4" s="200"/>
      <c r="D4" s="192" t="s">
        <v>269</v>
      </c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4"/>
    </row>
    <row r="5" spans="1:24" ht="13.5" customHeight="1" x14ac:dyDescent="0.25">
      <c r="A5" s="201" t="s">
        <v>0</v>
      </c>
      <c r="B5" s="202"/>
      <c r="C5" s="202"/>
      <c r="D5" s="202"/>
      <c r="E5" s="202"/>
      <c r="F5" s="202" t="str">
        <f>'SET SP Paicol'!J5</f>
        <v>GESTIÓN DE SERVICIOS PÚBLICOS - PAICOL</v>
      </c>
      <c r="G5" s="202"/>
      <c r="H5" s="202"/>
      <c r="I5" s="202"/>
      <c r="J5" s="202"/>
      <c r="K5" s="202"/>
      <c r="L5" s="202"/>
      <c r="M5" s="202"/>
      <c r="N5" s="202"/>
      <c r="O5" s="203"/>
    </row>
    <row r="6" spans="1:24" ht="15.75" customHeight="1" x14ac:dyDescent="0.25">
      <c r="A6" s="204" t="s">
        <v>1</v>
      </c>
      <c r="B6" s="205"/>
      <c r="C6" s="205"/>
      <c r="D6" s="205"/>
      <c r="E6" s="205"/>
      <c r="F6" s="206" t="str">
        <f>'SET SP Paicol'!$B13</f>
        <v>Cobertura   (Alcantarillado)</v>
      </c>
      <c r="G6" s="206"/>
      <c r="H6" s="206"/>
      <c r="I6" s="206"/>
      <c r="J6" s="206"/>
      <c r="K6" s="206"/>
      <c r="L6" s="206"/>
      <c r="M6" s="206"/>
      <c r="N6" s="206"/>
      <c r="O6" s="272"/>
    </row>
    <row r="7" spans="1:24" ht="15.75" customHeight="1" x14ac:dyDescent="0.25">
      <c r="A7" s="204" t="s">
        <v>55</v>
      </c>
      <c r="B7" s="205"/>
      <c r="C7" s="205"/>
      <c r="D7" s="205"/>
      <c r="E7" s="205"/>
      <c r="F7" s="223" t="str">
        <f>'SET SP Paicol'!F13</f>
        <v xml:space="preserve">Eficiencia </v>
      </c>
      <c r="G7" s="224"/>
      <c r="H7" s="224"/>
      <c r="I7" s="224"/>
      <c r="J7" s="224"/>
      <c r="K7" s="224"/>
      <c r="L7" s="224"/>
      <c r="M7" s="224"/>
      <c r="N7" s="224"/>
      <c r="O7" s="225"/>
    </row>
    <row r="8" spans="1:24" ht="17.25" customHeight="1" thickBot="1" x14ac:dyDescent="0.3">
      <c r="A8" s="209" t="s">
        <v>21</v>
      </c>
      <c r="B8" s="210"/>
      <c r="C8" s="210"/>
      <c r="D8" s="210"/>
      <c r="E8" s="210"/>
      <c r="F8" s="23" t="s">
        <v>93</v>
      </c>
      <c r="G8" s="211" t="str">
        <f>'SET SP Paicol'!A13</f>
        <v>IN06</v>
      </c>
      <c r="H8" s="211"/>
      <c r="I8" s="211"/>
      <c r="J8" s="211"/>
      <c r="K8" s="211"/>
      <c r="L8" s="211"/>
      <c r="M8" s="211"/>
      <c r="N8" s="211"/>
      <c r="O8" s="276"/>
    </row>
    <row r="9" spans="1:24" ht="12.75" customHeight="1" x14ac:dyDescent="0.25">
      <c r="A9" s="214" t="s">
        <v>22</v>
      </c>
      <c r="B9" s="215"/>
      <c r="C9" s="215"/>
      <c r="D9" s="215"/>
      <c r="E9" s="218" t="s">
        <v>23</v>
      </c>
      <c r="F9" s="218" t="s">
        <v>24</v>
      </c>
      <c r="G9" s="218"/>
      <c r="H9" s="218" t="s">
        <v>25</v>
      </c>
      <c r="I9" s="218" t="s">
        <v>26</v>
      </c>
      <c r="J9" s="218" t="s">
        <v>27</v>
      </c>
      <c r="K9" s="218"/>
      <c r="L9" s="220" t="s">
        <v>28</v>
      </c>
      <c r="M9" s="220"/>
      <c r="N9" s="220"/>
      <c r="O9" s="221"/>
    </row>
    <row r="10" spans="1:24" ht="46.5" customHeight="1" x14ac:dyDescent="0.25">
      <c r="A10" s="216"/>
      <c r="B10" s="217"/>
      <c r="C10" s="217"/>
      <c r="D10" s="217"/>
      <c r="E10" s="219"/>
      <c r="F10" s="219"/>
      <c r="G10" s="219"/>
      <c r="H10" s="219"/>
      <c r="I10" s="219"/>
      <c r="J10" s="219"/>
      <c r="K10" s="219"/>
      <c r="L10" s="217" t="s">
        <v>29</v>
      </c>
      <c r="M10" s="217"/>
      <c r="N10" s="217" t="s">
        <v>30</v>
      </c>
      <c r="O10" s="222"/>
    </row>
    <row r="11" spans="1:24" ht="57" customHeight="1" thickBot="1" x14ac:dyDescent="0.3">
      <c r="A11" s="226" t="str">
        <f>'SET SP Paicol'!$C13</f>
        <v xml:space="preserve">Medir el grado de cobertura en   la prestación del servicio de alcantarillado administrado  por Aguas del Huila. </v>
      </c>
      <c r="B11" s="227"/>
      <c r="C11" s="227"/>
      <c r="D11" s="227"/>
      <c r="E11" s="14" t="s">
        <v>35</v>
      </c>
      <c r="F11" s="227" t="str">
        <f>'SET SP Paicol'!$D13</f>
        <v xml:space="preserve">(Número de Suscriptores servicio alcantarillado / Número de Domicilios) x 100%  </v>
      </c>
      <c r="G11" s="227"/>
      <c r="H11" s="19">
        <f>$O18</f>
        <v>1</v>
      </c>
      <c r="I11" s="13" t="str">
        <f>'SET SP Paicol'!$E13</f>
        <v>Trimestral</v>
      </c>
      <c r="J11" s="228" t="s">
        <v>88</v>
      </c>
      <c r="K11" s="229"/>
      <c r="L11" s="229"/>
      <c r="M11" s="229"/>
      <c r="N11" s="229"/>
      <c r="O11" s="230"/>
    </row>
    <row r="12" spans="1:24" ht="13.5" customHeight="1" x14ac:dyDescent="0.25">
      <c r="A12" s="236" t="s">
        <v>38</v>
      </c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8"/>
    </row>
    <row r="13" spans="1:24" ht="21.75" customHeight="1" thickBot="1" x14ac:dyDescent="0.3">
      <c r="A13" s="239"/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1"/>
    </row>
    <row r="14" spans="1:24" ht="15" customHeight="1" thickBot="1" x14ac:dyDescent="0.3">
      <c r="A14" s="288" t="s">
        <v>31</v>
      </c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  <c r="N14" s="289"/>
      <c r="O14" s="290"/>
      <c r="V14" s="7"/>
      <c r="W14" s="6"/>
      <c r="X14" s="6"/>
    </row>
    <row r="15" spans="1:24" ht="16.5" customHeight="1" x14ac:dyDescent="0.25">
      <c r="A15" s="245" t="s">
        <v>267</v>
      </c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7"/>
      <c r="V15" s="7"/>
      <c r="W15" s="8"/>
      <c r="X15" s="8"/>
    </row>
    <row r="16" spans="1:24" ht="16.5" customHeight="1" x14ac:dyDescent="0.25">
      <c r="A16" s="248" t="s">
        <v>32</v>
      </c>
      <c r="B16" s="249"/>
      <c r="C16" s="66" t="s">
        <v>8</v>
      </c>
      <c r="D16" s="66" t="s">
        <v>9</v>
      </c>
      <c r="E16" s="66" t="s">
        <v>10</v>
      </c>
      <c r="F16" s="66" t="s">
        <v>11</v>
      </c>
      <c r="G16" s="66" t="s">
        <v>12</v>
      </c>
      <c r="H16" s="66" t="s">
        <v>13</v>
      </c>
      <c r="I16" s="66" t="s">
        <v>14</v>
      </c>
      <c r="J16" s="66" t="s">
        <v>15</v>
      </c>
      <c r="K16" s="66" t="s">
        <v>16</v>
      </c>
      <c r="L16" s="66" t="s">
        <v>17</v>
      </c>
      <c r="M16" s="66" t="s">
        <v>18</v>
      </c>
      <c r="N16" s="66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57" t="s">
        <v>39</v>
      </c>
      <c r="B17" s="258"/>
      <c r="C17" s="109">
        <f t="shared" ref="C17:N17" si="0">$O$17</f>
        <v>0.97</v>
      </c>
      <c r="D17" s="109">
        <f t="shared" si="0"/>
        <v>0.97</v>
      </c>
      <c r="E17" s="109">
        <f t="shared" si="0"/>
        <v>0.97</v>
      </c>
      <c r="F17" s="109">
        <f t="shared" si="0"/>
        <v>0.97</v>
      </c>
      <c r="G17" s="109">
        <f t="shared" si="0"/>
        <v>0.97</v>
      </c>
      <c r="H17" s="109">
        <f t="shared" si="0"/>
        <v>0.97</v>
      </c>
      <c r="I17" s="109">
        <f t="shared" si="0"/>
        <v>0.97</v>
      </c>
      <c r="J17" s="109">
        <f t="shared" si="0"/>
        <v>0.97</v>
      </c>
      <c r="K17" s="109">
        <f t="shared" si="0"/>
        <v>0.97</v>
      </c>
      <c r="L17" s="109">
        <f t="shared" si="0"/>
        <v>0.97</v>
      </c>
      <c r="M17" s="109">
        <f t="shared" si="0"/>
        <v>0.97</v>
      </c>
      <c r="N17" s="109">
        <f t="shared" si="0"/>
        <v>0.97</v>
      </c>
      <c r="O17" s="113">
        <f>'SET SP Paicol'!J13</f>
        <v>0.97</v>
      </c>
      <c r="V17" s="7"/>
      <c r="W17" s="8"/>
      <c r="X17" s="8"/>
    </row>
    <row r="18" spans="1:24" ht="17.25" customHeight="1" x14ac:dyDescent="0.25">
      <c r="A18" s="257" t="s">
        <v>268</v>
      </c>
      <c r="B18" s="258"/>
      <c r="C18" s="109">
        <f t="shared" ref="C18:N18" si="1">$O$18</f>
        <v>1</v>
      </c>
      <c r="D18" s="109">
        <f t="shared" si="1"/>
        <v>1</v>
      </c>
      <c r="E18" s="109">
        <f t="shared" si="1"/>
        <v>1</v>
      </c>
      <c r="F18" s="109">
        <f t="shared" si="1"/>
        <v>1</v>
      </c>
      <c r="G18" s="109">
        <f t="shared" si="1"/>
        <v>1</v>
      </c>
      <c r="H18" s="109">
        <f t="shared" si="1"/>
        <v>1</v>
      </c>
      <c r="I18" s="109">
        <f t="shared" si="1"/>
        <v>1</v>
      </c>
      <c r="J18" s="109">
        <f t="shared" si="1"/>
        <v>1</v>
      </c>
      <c r="K18" s="109">
        <f t="shared" si="1"/>
        <v>1</v>
      </c>
      <c r="L18" s="109">
        <f t="shared" si="1"/>
        <v>1</v>
      </c>
      <c r="M18" s="109">
        <f t="shared" si="1"/>
        <v>1</v>
      </c>
      <c r="N18" s="109">
        <f t="shared" si="1"/>
        <v>1</v>
      </c>
      <c r="O18" s="113">
        <f>'SET SP Paicol'!K13</f>
        <v>1</v>
      </c>
      <c r="V18" s="7"/>
      <c r="W18" s="8"/>
      <c r="X18" s="8"/>
    </row>
    <row r="19" spans="1:24" ht="17.25" customHeight="1" x14ac:dyDescent="0.25">
      <c r="A19" s="261" t="s">
        <v>263</v>
      </c>
      <c r="B19" s="262"/>
      <c r="C19" s="10" t="str">
        <f t="shared" ref="C19:E19" si="2">IF((C21),C20/C21,"-")</f>
        <v>-</v>
      </c>
      <c r="D19" s="10" t="str">
        <f t="shared" si="2"/>
        <v>-</v>
      </c>
      <c r="E19" s="10" t="str">
        <f t="shared" si="2"/>
        <v>-</v>
      </c>
      <c r="F19" s="10" t="str">
        <f>IF((F21),F20/F21,"-")</f>
        <v>-</v>
      </c>
      <c r="G19" s="10" t="str">
        <f t="shared" ref="G19:O19" si="3">IF((G21),G20/G21,"-")</f>
        <v>-</v>
      </c>
      <c r="H19" s="10" t="str">
        <f t="shared" si="3"/>
        <v>-</v>
      </c>
      <c r="I19" s="10" t="str">
        <f t="shared" si="3"/>
        <v>-</v>
      </c>
      <c r="J19" s="10" t="str">
        <f t="shared" si="3"/>
        <v>-</v>
      </c>
      <c r="K19" s="10" t="str">
        <f t="shared" si="3"/>
        <v>-</v>
      </c>
      <c r="L19" s="10" t="str">
        <f t="shared" si="3"/>
        <v>-</v>
      </c>
      <c r="M19" s="10" t="str">
        <f t="shared" si="3"/>
        <v>-</v>
      </c>
      <c r="N19" s="10">
        <f t="shared" si="3"/>
        <v>0.96247818499127402</v>
      </c>
      <c r="O19" s="11">
        <f t="shared" si="3"/>
        <v>4.7635253054101225</v>
      </c>
      <c r="V19" s="7"/>
      <c r="W19" s="8"/>
      <c r="X19" s="8"/>
    </row>
    <row r="20" spans="1:24" ht="26.25" customHeight="1" x14ac:dyDescent="0.25">
      <c r="A20" s="263" t="s">
        <v>37</v>
      </c>
      <c r="B20" s="31" t="s">
        <v>259</v>
      </c>
      <c r="C20" s="20">
        <f>PAICOL2020!D$7</f>
        <v>1090</v>
      </c>
      <c r="D20" s="20">
        <f>PAICOL2020!E$7</f>
        <v>1089</v>
      </c>
      <c r="E20" s="20">
        <f>PAICOL2020!F$7</f>
        <v>1090</v>
      </c>
      <c r="F20" s="20">
        <f>PAICOL2020!G$7</f>
        <v>1087</v>
      </c>
      <c r="G20" s="20">
        <f>PAICOL2020!H$7</f>
        <v>0</v>
      </c>
      <c r="H20" s="20">
        <f>PAICOL2020!I$7</f>
        <v>0</v>
      </c>
      <c r="I20" s="20">
        <f>PAICOL2020!J$7</f>
        <v>0</v>
      </c>
      <c r="J20" s="20">
        <f>PAICOL2020!K$7</f>
        <v>0</v>
      </c>
      <c r="K20" s="20">
        <f>PAICOL2020!L$7</f>
        <v>0</v>
      </c>
      <c r="L20" s="20">
        <f>PAICOL2020!M$7</f>
        <v>0</v>
      </c>
      <c r="M20" s="20">
        <f>PAICOL2020!N$7</f>
        <v>0</v>
      </c>
      <c r="N20" s="20">
        <f>PAICOL2020!O$7</f>
        <v>1103</v>
      </c>
      <c r="O20" s="21">
        <f>SUM(C20:N20)</f>
        <v>5459</v>
      </c>
      <c r="V20" s="7"/>
      <c r="W20" s="8"/>
      <c r="X20" s="8"/>
    </row>
    <row r="21" spans="1:24" ht="12.75" customHeight="1" x14ac:dyDescent="0.25">
      <c r="A21" s="263"/>
      <c r="B21" s="31" t="s">
        <v>137</v>
      </c>
      <c r="C21" s="20">
        <f>'05'!C21</f>
        <v>0</v>
      </c>
      <c r="D21" s="20">
        <f>'05'!D21</f>
        <v>0</v>
      </c>
      <c r="E21" s="20">
        <f>'05'!E21</f>
        <v>0</v>
      </c>
      <c r="F21" s="20">
        <f>'05'!F21</f>
        <v>0</v>
      </c>
      <c r="G21" s="20">
        <f>'05'!G21</f>
        <v>0</v>
      </c>
      <c r="H21" s="20">
        <f>'05'!H21</f>
        <v>0</v>
      </c>
      <c r="I21" s="20">
        <f>'05'!I21</f>
        <v>0</v>
      </c>
      <c r="J21" s="20">
        <f>'05'!J21</f>
        <v>0</v>
      </c>
      <c r="K21" s="20">
        <f>'05'!K21</f>
        <v>0</v>
      </c>
      <c r="L21" s="20">
        <f>'05'!L21</f>
        <v>0</v>
      </c>
      <c r="M21" s="20">
        <f>'05'!M21</f>
        <v>0</v>
      </c>
      <c r="N21" s="20">
        <f>'05'!N21</f>
        <v>1146</v>
      </c>
      <c r="O21" s="21">
        <f>SUM(C21:N21)</f>
        <v>1146</v>
      </c>
      <c r="V21" s="7"/>
      <c r="W21" s="8"/>
      <c r="X21" s="8"/>
    </row>
    <row r="22" spans="1:24" ht="17.25" customHeight="1" x14ac:dyDescent="0.25">
      <c r="A22" s="263"/>
      <c r="B22" s="65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6"/>
      <c r="V22" s="7"/>
      <c r="W22" s="8"/>
      <c r="X22" s="8"/>
    </row>
    <row r="23" spans="1:24" ht="18" customHeight="1" thickBot="1" x14ac:dyDescent="0.3">
      <c r="A23" s="264"/>
      <c r="B23" s="67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65" t="s">
        <v>34</v>
      </c>
      <c r="B24" s="266"/>
      <c r="C24" s="267"/>
      <c r="D24" s="291" t="str">
        <f>'SET SP Paicol'!$G13</f>
        <v>Entre 80% y 100%</v>
      </c>
      <c r="E24" s="292"/>
      <c r="F24" s="292"/>
      <c r="G24" s="293"/>
      <c r="H24" s="254" t="str">
        <f>'SET SP Paicol'!$H13</f>
        <v>Entre 60% y 79%</v>
      </c>
      <c r="I24" s="255"/>
      <c r="J24" s="255"/>
      <c r="K24" s="256"/>
      <c r="L24" s="254" t="str">
        <f>'SET SP Paicol'!$I13</f>
        <v>Menor al 59%</v>
      </c>
      <c r="M24" s="259"/>
      <c r="N24" s="259"/>
      <c r="O24" s="260"/>
      <c r="V24" s="7"/>
      <c r="W24" s="8"/>
      <c r="X24" s="8"/>
    </row>
    <row r="25" spans="1:24" ht="33" customHeight="1" thickBot="1" x14ac:dyDescent="0.3">
      <c r="A25" s="268"/>
      <c r="B25" s="269"/>
      <c r="C25" s="269"/>
      <c r="D25" s="270" t="s">
        <v>7</v>
      </c>
      <c r="E25" s="270"/>
      <c r="F25" s="270"/>
      <c r="G25" s="270"/>
      <c r="H25" s="271" t="s">
        <v>61</v>
      </c>
      <c r="I25" s="271"/>
      <c r="J25" s="271"/>
      <c r="K25" s="271"/>
      <c r="L25" s="231" t="s">
        <v>62</v>
      </c>
      <c r="M25" s="231"/>
      <c r="N25" s="231"/>
      <c r="O25" s="232"/>
      <c r="V25" s="7"/>
      <c r="W25" s="8"/>
      <c r="X25" s="8"/>
    </row>
    <row r="26" spans="1:24" ht="15.75" customHeight="1" thickBot="1" x14ac:dyDescent="0.3">
      <c r="A26" s="233" t="s">
        <v>36</v>
      </c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5"/>
      <c r="V26" s="7"/>
      <c r="W26" s="8"/>
      <c r="X26" s="8"/>
    </row>
    <row r="27" spans="1:24" ht="264.75" customHeight="1" thickBot="1" x14ac:dyDescent="0.3">
      <c r="A27" s="251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3"/>
      <c r="V27" s="7"/>
    </row>
    <row r="28" spans="1:24" ht="15" customHeight="1" x14ac:dyDescent="0.25">
      <c r="A28" s="188" t="s">
        <v>58</v>
      </c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90" t="s">
        <v>60</v>
      </c>
      <c r="O28" s="191"/>
    </row>
    <row r="29" spans="1:24" ht="15" customHeight="1" x14ac:dyDescent="0.25">
      <c r="A29" s="182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6">
        <v>45658</v>
      </c>
      <c r="O29" s="187"/>
    </row>
    <row r="30" spans="1:24" ht="15" customHeight="1" x14ac:dyDescent="0.25">
      <c r="A30" s="182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6">
        <v>45689</v>
      </c>
      <c r="O30" s="187"/>
    </row>
    <row r="31" spans="1:24" ht="15" customHeight="1" x14ac:dyDescent="0.25">
      <c r="A31" s="182"/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6">
        <v>45717</v>
      </c>
      <c r="O31" s="187"/>
    </row>
    <row r="32" spans="1:24" ht="15" customHeight="1" x14ac:dyDescent="0.25">
      <c r="A32" s="182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6">
        <v>45748</v>
      </c>
      <c r="O32" s="187"/>
    </row>
    <row r="33" spans="1:17" ht="15" customHeight="1" x14ac:dyDescent="0.25">
      <c r="A33" s="182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6">
        <v>45778</v>
      </c>
      <c r="O33" s="187"/>
    </row>
    <row r="34" spans="1:17" ht="15" customHeight="1" x14ac:dyDescent="0.25">
      <c r="A34" s="182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6">
        <v>45809</v>
      </c>
      <c r="O34" s="187"/>
    </row>
    <row r="35" spans="1:17" ht="15" customHeight="1" x14ac:dyDescent="0.25">
      <c r="A35" s="182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6">
        <v>45839</v>
      </c>
      <c r="O35" s="187"/>
    </row>
    <row r="36" spans="1:17" ht="15" customHeight="1" x14ac:dyDescent="0.25">
      <c r="A36" s="182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6">
        <v>45870</v>
      </c>
      <c r="O36" s="187"/>
    </row>
    <row r="37" spans="1:17" ht="15" customHeight="1" x14ac:dyDescent="0.25">
      <c r="A37" s="182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6">
        <v>45901</v>
      </c>
      <c r="O37" s="187"/>
    </row>
    <row r="38" spans="1:17" ht="15" customHeight="1" x14ac:dyDescent="0.25">
      <c r="A38" s="182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6">
        <v>45931</v>
      </c>
      <c r="O38" s="187"/>
    </row>
    <row r="39" spans="1:17" ht="15" customHeight="1" x14ac:dyDescent="0.25">
      <c r="A39" s="182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6">
        <v>45962</v>
      </c>
      <c r="O39" s="187"/>
    </row>
    <row r="40" spans="1:17" ht="15" customHeight="1" thickBot="1" x14ac:dyDescent="0.3">
      <c r="A40" s="182"/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6">
        <v>45992</v>
      </c>
      <c r="O40" s="187"/>
    </row>
    <row r="41" spans="1:17" ht="25.5" customHeight="1" x14ac:dyDescent="0.25">
      <c r="A41" s="188" t="s">
        <v>59</v>
      </c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90" t="s">
        <v>60</v>
      </c>
      <c r="O41" s="191"/>
    </row>
    <row r="42" spans="1:17" ht="15" x14ac:dyDescent="0.25">
      <c r="A42" s="182" t="s">
        <v>3</v>
      </c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4"/>
      <c r="O42" s="185"/>
    </row>
    <row r="43" spans="1:17" ht="15.75" thickBot="1" x14ac:dyDescent="0.3">
      <c r="A43" s="283"/>
      <c r="B43" s="284"/>
      <c r="C43" s="284"/>
      <c r="D43" s="284"/>
      <c r="E43" s="284"/>
      <c r="F43" s="284"/>
      <c r="G43" s="284"/>
      <c r="H43" s="284"/>
      <c r="I43" s="284"/>
      <c r="J43" s="284"/>
      <c r="K43" s="284"/>
      <c r="L43" s="284"/>
      <c r="M43" s="284"/>
      <c r="N43" s="284"/>
      <c r="O43" s="285"/>
    </row>
    <row r="44" spans="1:17" ht="6" customHeight="1" x14ac:dyDescent="0.25">
      <c r="A44" s="250"/>
      <c r="B44" s="250"/>
      <c r="C44" s="250"/>
      <c r="D44" s="250"/>
      <c r="E44" s="250"/>
      <c r="F44" s="250"/>
      <c r="G44" s="250"/>
      <c r="H44" s="250"/>
      <c r="I44" s="250"/>
      <c r="J44" s="250"/>
      <c r="K44" s="250"/>
      <c r="L44" s="250"/>
      <c r="M44" s="250"/>
      <c r="N44" s="250"/>
      <c r="O44" s="250"/>
    </row>
    <row r="46" spans="1:17" ht="14.25" x14ac:dyDescent="0.2">
      <c r="Q46" s="40" t="s">
        <v>80</v>
      </c>
    </row>
    <row r="47" spans="1:17" ht="14.25" x14ac:dyDescent="0.2">
      <c r="Q47" s="40" t="s">
        <v>81</v>
      </c>
    </row>
    <row r="48" spans="1:17" ht="14.25" x14ac:dyDescent="0.2">
      <c r="Q48" s="40" t="s">
        <v>82</v>
      </c>
    </row>
    <row r="49" spans="17:17" ht="14.25" x14ac:dyDescent="0.2">
      <c r="Q49" s="40" t="s">
        <v>83</v>
      </c>
    </row>
    <row r="50" spans="17:17" ht="14.25" x14ac:dyDescent="0.2">
      <c r="Q50" s="40" t="s">
        <v>84</v>
      </c>
    </row>
    <row r="51" spans="17:17" ht="14.25" x14ac:dyDescent="0.2">
      <c r="Q51" s="40" t="s">
        <v>85</v>
      </c>
    </row>
    <row r="52" spans="17:17" ht="14.25" x14ac:dyDescent="0.2">
      <c r="Q52" s="40" t="s">
        <v>86</v>
      </c>
    </row>
    <row r="53" spans="17:17" ht="14.25" x14ac:dyDescent="0.2">
      <c r="Q53" s="40" t="s">
        <v>87</v>
      </c>
    </row>
    <row r="54" spans="17:17" ht="14.25" x14ac:dyDescent="0.2">
      <c r="Q54" s="40" t="s">
        <v>88</v>
      </c>
    </row>
    <row r="55" spans="17:17" ht="14.25" x14ac:dyDescent="0.2">
      <c r="Q55" s="40" t="s">
        <v>89</v>
      </c>
    </row>
    <row r="56" spans="17:17" ht="14.25" x14ac:dyDescent="0.2">
      <c r="Q56" s="40" t="s">
        <v>90</v>
      </c>
    </row>
    <row r="57" spans="17:17" ht="14.25" x14ac:dyDescent="0.2">
      <c r="Q57" s="40" t="s">
        <v>91</v>
      </c>
    </row>
    <row r="58" spans="17:17" ht="14.25" x14ac:dyDescent="0.2">
      <c r="Q58" s="40" t="s">
        <v>92</v>
      </c>
    </row>
    <row r="60" spans="17:17" x14ac:dyDescent="0.25">
      <c r="Q60" s="9">
        <v>0.92</v>
      </c>
    </row>
    <row r="61" spans="17:17" x14ac:dyDescent="0.25">
      <c r="Q61" s="9">
        <v>1</v>
      </c>
    </row>
  </sheetData>
  <mergeCells count="76">
    <mergeCell ref="A44:O44"/>
    <mergeCell ref="A6:E6"/>
    <mergeCell ref="F6:O6"/>
    <mergeCell ref="A1:C4"/>
    <mergeCell ref="D1:O1"/>
    <mergeCell ref="D4:O4"/>
    <mergeCell ref="A13:O13"/>
    <mergeCell ref="I9:I10"/>
    <mergeCell ref="A7:E7"/>
    <mergeCell ref="A5:E5"/>
    <mergeCell ref="F5:O5"/>
    <mergeCell ref="N10:O10"/>
    <mergeCell ref="F7:O7"/>
    <mergeCell ref="J9:K10"/>
    <mergeCell ref="L9:O9"/>
    <mergeCell ref="L10:M10"/>
    <mergeCell ref="A8:E8"/>
    <mergeCell ref="A9:D10"/>
    <mergeCell ref="E9:E10"/>
    <mergeCell ref="F9:G10"/>
    <mergeCell ref="H9:H10"/>
    <mergeCell ref="G8:O8"/>
    <mergeCell ref="A43:M43"/>
    <mergeCell ref="N43:O43"/>
    <mergeCell ref="A18:B18"/>
    <mergeCell ref="A19:B19"/>
    <mergeCell ref="A20:A23"/>
    <mergeCell ref="L24:O24"/>
    <mergeCell ref="D25:G25"/>
    <mergeCell ref="H25:K25"/>
    <mergeCell ref="L25:O25"/>
    <mergeCell ref="A26:O26"/>
    <mergeCell ref="A27:O27"/>
    <mergeCell ref="H24:K24"/>
    <mergeCell ref="A24:C25"/>
    <mergeCell ref="D24:G24"/>
    <mergeCell ref="A41:M41"/>
    <mergeCell ref="N41:O41"/>
    <mergeCell ref="A42:M42"/>
    <mergeCell ref="N42:O42"/>
    <mergeCell ref="J11:O11"/>
    <mergeCell ref="A28:M28"/>
    <mergeCell ref="N28:O28"/>
    <mergeCell ref="A17:B17"/>
    <mergeCell ref="A14:O14"/>
    <mergeCell ref="A15:O15"/>
    <mergeCell ref="A16:B16"/>
    <mergeCell ref="A11:D11"/>
    <mergeCell ref="F11:G11"/>
    <mergeCell ref="A12:O12"/>
    <mergeCell ref="A29:M29"/>
    <mergeCell ref="N29:O29"/>
    <mergeCell ref="A30:M30"/>
    <mergeCell ref="N30:O30"/>
    <mergeCell ref="A31:M31"/>
    <mergeCell ref="N31:O31"/>
    <mergeCell ref="A32:M32"/>
    <mergeCell ref="N32:O32"/>
    <mergeCell ref="A33:M33"/>
    <mergeCell ref="N33:O33"/>
    <mergeCell ref="D2:O2"/>
    <mergeCell ref="D3:O3"/>
    <mergeCell ref="A40:M40"/>
    <mergeCell ref="N40:O40"/>
    <mergeCell ref="A37:M37"/>
    <mergeCell ref="N37:O37"/>
    <mergeCell ref="A38:M38"/>
    <mergeCell ref="N38:O38"/>
    <mergeCell ref="A39:M39"/>
    <mergeCell ref="N39:O39"/>
    <mergeCell ref="A34:M34"/>
    <mergeCell ref="N34:O34"/>
    <mergeCell ref="A35:M35"/>
    <mergeCell ref="N35:O35"/>
    <mergeCell ref="A36:M36"/>
    <mergeCell ref="N36:O36"/>
  </mergeCells>
  <dataValidations count="1">
    <dataValidation type="list" allowBlank="1" showInputMessage="1" showErrorMessage="1" sqref="J11:O11" xr:uid="{00000000-0002-0000-0600-000000000000}">
      <formula1>$Q$46:$Q$58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X61"/>
  <sheetViews>
    <sheetView topLeftCell="A27"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3" width="8.85546875" style="2" customWidth="1"/>
    <col min="4" max="4" width="9.140625" style="2" customWidth="1"/>
    <col min="5" max="11" width="7.7109375" style="2" customWidth="1"/>
    <col min="12" max="12" width="8.28515625" style="2" customWidth="1"/>
    <col min="13" max="15" width="7.7109375" style="2" customWidth="1"/>
    <col min="16" max="16" width="7.85546875" style="2" customWidth="1"/>
    <col min="17" max="18" width="7.85546875" style="2" hidden="1" customWidth="1"/>
    <col min="19" max="19" width="7.85546875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3.5" customHeight="1" x14ac:dyDescent="0.25">
      <c r="A1" s="195"/>
      <c r="B1" s="196"/>
      <c r="C1" s="196"/>
      <c r="D1" s="179" t="s">
        <v>251</v>
      </c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1"/>
    </row>
    <row r="2" spans="1:24" ht="12.75" customHeight="1" x14ac:dyDescent="0.25">
      <c r="A2" s="197"/>
      <c r="B2" s="198"/>
      <c r="C2" s="198"/>
      <c r="D2" s="308" t="s">
        <v>272</v>
      </c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10"/>
    </row>
    <row r="3" spans="1:24" ht="15" customHeight="1" x14ac:dyDescent="0.25">
      <c r="A3" s="197"/>
      <c r="B3" s="198"/>
      <c r="C3" s="198"/>
      <c r="D3" s="311" t="s">
        <v>20</v>
      </c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3"/>
    </row>
    <row r="4" spans="1:24" ht="12" customHeight="1" thickBot="1" x14ac:dyDescent="0.3">
      <c r="A4" s="199"/>
      <c r="B4" s="200"/>
      <c r="C4" s="200"/>
      <c r="D4" s="192" t="s">
        <v>269</v>
      </c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4"/>
    </row>
    <row r="5" spans="1:24" ht="13.5" customHeight="1" x14ac:dyDescent="0.25">
      <c r="A5" s="201" t="s">
        <v>0</v>
      </c>
      <c r="B5" s="202"/>
      <c r="C5" s="202"/>
      <c r="D5" s="202"/>
      <c r="E5" s="202"/>
      <c r="F5" s="202" t="str">
        <f>'SET SP Paicol'!J5</f>
        <v>GESTIÓN DE SERVICIOS PÚBLICOS - PAICOL</v>
      </c>
      <c r="G5" s="202"/>
      <c r="H5" s="202"/>
      <c r="I5" s="202"/>
      <c r="J5" s="202"/>
      <c r="K5" s="202"/>
      <c r="L5" s="202"/>
      <c r="M5" s="202"/>
      <c r="N5" s="202"/>
      <c r="O5" s="203"/>
    </row>
    <row r="6" spans="1:24" ht="15.75" customHeight="1" x14ac:dyDescent="0.25">
      <c r="A6" s="204" t="s">
        <v>1</v>
      </c>
      <c r="B6" s="205"/>
      <c r="C6" s="205"/>
      <c r="D6" s="205"/>
      <c r="E6" s="205"/>
      <c r="F6" s="206" t="str">
        <f>'SET SP Paicol'!$B14</f>
        <v xml:space="preserve">Cobertura   (Servicio de Aseo) </v>
      </c>
      <c r="G6" s="206"/>
      <c r="H6" s="206"/>
      <c r="I6" s="206"/>
      <c r="J6" s="206"/>
      <c r="K6" s="206"/>
      <c r="L6" s="206"/>
      <c r="M6" s="206"/>
      <c r="N6" s="206"/>
      <c r="O6" s="272"/>
    </row>
    <row r="7" spans="1:24" ht="15.75" customHeight="1" x14ac:dyDescent="0.25">
      <c r="A7" s="204" t="s">
        <v>55</v>
      </c>
      <c r="B7" s="205"/>
      <c r="C7" s="205"/>
      <c r="D7" s="205"/>
      <c r="E7" s="205"/>
      <c r="F7" s="223" t="str">
        <f>'SET SP Paicol'!F14</f>
        <v xml:space="preserve">Eficiencia </v>
      </c>
      <c r="G7" s="224"/>
      <c r="H7" s="224"/>
      <c r="I7" s="224"/>
      <c r="J7" s="224"/>
      <c r="K7" s="224"/>
      <c r="L7" s="224"/>
      <c r="M7" s="224"/>
      <c r="N7" s="224"/>
      <c r="O7" s="225"/>
    </row>
    <row r="8" spans="1:24" ht="17.25" customHeight="1" thickBot="1" x14ac:dyDescent="0.3">
      <c r="A8" s="209" t="s">
        <v>21</v>
      </c>
      <c r="B8" s="210"/>
      <c r="C8" s="210"/>
      <c r="D8" s="210"/>
      <c r="E8" s="210"/>
      <c r="F8" s="23" t="s">
        <v>93</v>
      </c>
      <c r="G8" s="211" t="str">
        <f>'SET SP Paicol'!A14</f>
        <v>IN07</v>
      </c>
      <c r="H8" s="211"/>
      <c r="I8" s="211"/>
      <c r="J8" s="211"/>
      <c r="K8" s="211"/>
      <c r="L8" s="211"/>
      <c r="M8" s="211"/>
      <c r="N8" s="211"/>
      <c r="O8" s="276"/>
    </row>
    <row r="9" spans="1:24" ht="12.75" customHeight="1" x14ac:dyDescent="0.25">
      <c r="A9" s="214" t="s">
        <v>22</v>
      </c>
      <c r="B9" s="215"/>
      <c r="C9" s="215"/>
      <c r="D9" s="215"/>
      <c r="E9" s="218" t="s">
        <v>23</v>
      </c>
      <c r="F9" s="218" t="s">
        <v>24</v>
      </c>
      <c r="G9" s="218"/>
      <c r="H9" s="218" t="s">
        <v>25</v>
      </c>
      <c r="I9" s="218" t="s">
        <v>26</v>
      </c>
      <c r="J9" s="218" t="s">
        <v>27</v>
      </c>
      <c r="K9" s="218"/>
      <c r="L9" s="220" t="s">
        <v>28</v>
      </c>
      <c r="M9" s="220"/>
      <c r="N9" s="220"/>
      <c r="O9" s="221"/>
    </row>
    <row r="10" spans="1:24" ht="46.5" customHeight="1" x14ac:dyDescent="0.25">
      <c r="A10" s="216"/>
      <c r="B10" s="217"/>
      <c r="C10" s="217"/>
      <c r="D10" s="217"/>
      <c r="E10" s="219"/>
      <c r="F10" s="219"/>
      <c r="G10" s="219"/>
      <c r="H10" s="219"/>
      <c r="I10" s="219"/>
      <c r="J10" s="219"/>
      <c r="K10" s="219"/>
      <c r="L10" s="217" t="s">
        <v>29</v>
      </c>
      <c r="M10" s="217"/>
      <c r="N10" s="217" t="s">
        <v>30</v>
      </c>
      <c r="O10" s="222"/>
    </row>
    <row r="11" spans="1:24" ht="48.75" customHeight="1" thickBot="1" x14ac:dyDescent="0.3">
      <c r="A11" s="226" t="str">
        <f>'SET SP Paicol'!$C14</f>
        <v xml:space="preserve">Medir el grado de cobertura en   la prestación del servicio de aseo administrado  por Aguas del Huila. </v>
      </c>
      <c r="B11" s="227"/>
      <c r="C11" s="227"/>
      <c r="D11" s="227"/>
      <c r="E11" s="14" t="s">
        <v>35</v>
      </c>
      <c r="F11" s="227" t="str">
        <f>'SET SP Paicol'!$D14</f>
        <v xml:space="preserve">(Residuos sólidos recolectada/ Residuos sólidos producidos) x 100%           </v>
      </c>
      <c r="G11" s="227"/>
      <c r="H11" s="19">
        <f>$O18</f>
        <v>1</v>
      </c>
      <c r="I11" s="13" t="str">
        <f>'SET SP Paicol'!$E14</f>
        <v>Trimestral</v>
      </c>
      <c r="J11" s="228" t="s">
        <v>88</v>
      </c>
      <c r="K11" s="229"/>
      <c r="L11" s="229"/>
      <c r="M11" s="229"/>
      <c r="N11" s="229"/>
      <c r="O11" s="230"/>
    </row>
    <row r="12" spans="1:24" ht="13.5" customHeight="1" x14ac:dyDescent="0.25">
      <c r="A12" s="236" t="s">
        <v>38</v>
      </c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8"/>
    </row>
    <row r="13" spans="1:24" ht="18.75" customHeight="1" thickBot="1" x14ac:dyDescent="0.3">
      <c r="A13" s="239"/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1"/>
    </row>
    <row r="14" spans="1:24" ht="15" customHeight="1" thickBot="1" x14ac:dyDescent="0.3">
      <c r="A14" s="288" t="s">
        <v>31</v>
      </c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  <c r="N14" s="289"/>
      <c r="O14" s="290"/>
      <c r="V14" s="7"/>
      <c r="W14" s="6"/>
      <c r="X14" s="6"/>
    </row>
    <row r="15" spans="1:24" ht="16.5" customHeight="1" x14ac:dyDescent="0.25">
      <c r="A15" s="245" t="s">
        <v>267</v>
      </c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7"/>
      <c r="V15" s="7"/>
      <c r="W15" s="8"/>
      <c r="X15" s="8"/>
    </row>
    <row r="16" spans="1:24" ht="16.5" customHeight="1" x14ac:dyDescent="0.25">
      <c r="A16" s="248" t="s">
        <v>32</v>
      </c>
      <c r="B16" s="249"/>
      <c r="C16" s="66" t="s">
        <v>8</v>
      </c>
      <c r="D16" s="66" t="s">
        <v>9</v>
      </c>
      <c r="E16" s="66" t="s">
        <v>10</v>
      </c>
      <c r="F16" s="66" t="s">
        <v>11</v>
      </c>
      <c r="G16" s="66" t="s">
        <v>12</v>
      </c>
      <c r="H16" s="66" t="s">
        <v>13</v>
      </c>
      <c r="I16" s="66" t="s">
        <v>14</v>
      </c>
      <c r="J16" s="66" t="s">
        <v>15</v>
      </c>
      <c r="K16" s="66" t="s">
        <v>16</v>
      </c>
      <c r="L16" s="66" t="s">
        <v>17</v>
      </c>
      <c r="M16" s="66" t="s">
        <v>18</v>
      </c>
      <c r="N16" s="66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57" t="s">
        <v>39</v>
      </c>
      <c r="B17" s="258"/>
      <c r="C17" s="54">
        <f t="shared" ref="C17:N17" si="0">$O$17</f>
        <v>0.97</v>
      </c>
      <c r="D17" s="54">
        <f t="shared" si="0"/>
        <v>0.97</v>
      </c>
      <c r="E17" s="54">
        <f t="shared" si="0"/>
        <v>0.97</v>
      </c>
      <c r="F17" s="54">
        <f t="shared" si="0"/>
        <v>0.97</v>
      </c>
      <c r="G17" s="54">
        <f t="shared" si="0"/>
        <v>0.97</v>
      </c>
      <c r="H17" s="54">
        <f t="shared" si="0"/>
        <v>0.97</v>
      </c>
      <c r="I17" s="54">
        <f t="shared" si="0"/>
        <v>0.97</v>
      </c>
      <c r="J17" s="54">
        <f t="shared" si="0"/>
        <v>0.97</v>
      </c>
      <c r="K17" s="54">
        <f t="shared" si="0"/>
        <v>0.97</v>
      </c>
      <c r="L17" s="54">
        <f t="shared" si="0"/>
        <v>0.97</v>
      </c>
      <c r="M17" s="54">
        <f t="shared" si="0"/>
        <v>0.97</v>
      </c>
      <c r="N17" s="54">
        <f t="shared" si="0"/>
        <v>0.97</v>
      </c>
      <c r="O17" s="114">
        <f>'SET SP Paicol'!J14</f>
        <v>0.97</v>
      </c>
      <c r="V17" s="7"/>
      <c r="W17" s="8"/>
      <c r="X17" s="8"/>
    </row>
    <row r="18" spans="1:24" ht="17.25" customHeight="1" x14ac:dyDescent="0.25">
      <c r="A18" s="257" t="s">
        <v>268</v>
      </c>
      <c r="B18" s="258"/>
      <c r="C18" s="54">
        <f t="shared" ref="C18:N18" si="1">$O$18</f>
        <v>1</v>
      </c>
      <c r="D18" s="54">
        <f t="shared" si="1"/>
        <v>1</v>
      </c>
      <c r="E18" s="54">
        <f t="shared" si="1"/>
        <v>1</v>
      </c>
      <c r="F18" s="54">
        <f t="shared" si="1"/>
        <v>1</v>
      </c>
      <c r="G18" s="54">
        <f t="shared" si="1"/>
        <v>1</v>
      </c>
      <c r="H18" s="54">
        <f t="shared" si="1"/>
        <v>1</v>
      </c>
      <c r="I18" s="54">
        <f t="shared" si="1"/>
        <v>1</v>
      </c>
      <c r="J18" s="54">
        <f t="shared" si="1"/>
        <v>1</v>
      </c>
      <c r="K18" s="54">
        <f t="shared" si="1"/>
        <v>1</v>
      </c>
      <c r="L18" s="54">
        <f t="shared" si="1"/>
        <v>1</v>
      </c>
      <c r="M18" s="54">
        <f t="shared" si="1"/>
        <v>1</v>
      </c>
      <c r="N18" s="54">
        <f t="shared" si="1"/>
        <v>1</v>
      </c>
      <c r="O18" s="114">
        <f>'SET SP Paicol'!K14</f>
        <v>1</v>
      </c>
      <c r="V18" s="7"/>
      <c r="W18" s="8"/>
      <c r="X18" s="8"/>
    </row>
    <row r="19" spans="1:24" ht="17.25" customHeight="1" x14ac:dyDescent="0.25">
      <c r="A19" s="261" t="s">
        <v>263</v>
      </c>
      <c r="B19" s="262"/>
      <c r="C19" s="58" t="str">
        <f>IF(ISNUMBER(C21),C20/C21,"-")</f>
        <v>-</v>
      </c>
      <c r="D19" s="58" t="str">
        <f t="shared" ref="D19:O19" si="2">IF(ISNUMBER(D21),D20/D21,"-")</f>
        <v>-</v>
      </c>
      <c r="E19" s="58" t="str">
        <f t="shared" si="2"/>
        <v>-</v>
      </c>
      <c r="F19" s="58" t="str">
        <f t="shared" si="2"/>
        <v>-</v>
      </c>
      <c r="G19" s="58" t="str">
        <f t="shared" si="2"/>
        <v>-</v>
      </c>
      <c r="H19" s="58" t="str">
        <f t="shared" si="2"/>
        <v>-</v>
      </c>
      <c r="I19" s="58" t="str">
        <f t="shared" si="2"/>
        <v>-</v>
      </c>
      <c r="J19" s="58" t="str">
        <f t="shared" si="2"/>
        <v>-</v>
      </c>
      <c r="K19" s="58" t="str">
        <f t="shared" si="2"/>
        <v>-</v>
      </c>
      <c r="L19" s="58" t="str">
        <f t="shared" si="2"/>
        <v>-</v>
      </c>
      <c r="M19" s="58" t="str">
        <f t="shared" si="2"/>
        <v>-</v>
      </c>
      <c r="N19" s="58">
        <f t="shared" si="2"/>
        <v>0.9511343804537522</v>
      </c>
      <c r="O19" s="60" t="str">
        <f t="shared" si="2"/>
        <v>-</v>
      </c>
      <c r="V19" s="7"/>
      <c r="W19" s="8"/>
      <c r="X19" s="8"/>
    </row>
    <row r="20" spans="1:24" ht="17.25" customHeight="1" x14ac:dyDescent="0.25">
      <c r="A20" s="263" t="s">
        <v>37</v>
      </c>
      <c r="B20" s="31" t="s">
        <v>138</v>
      </c>
      <c r="C20" s="57">
        <f>PAICOL2020!D$36</f>
        <v>70.08</v>
      </c>
      <c r="D20" s="57">
        <f>PAICOL2020!E$36</f>
        <v>51.26</v>
      </c>
      <c r="E20" s="57">
        <f>PAICOL2020!F$36</f>
        <v>0</v>
      </c>
      <c r="F20" s="57">
        <f>PAICOL2020!G$36</f>
        <v>0</v>
      </c>
      <c r="G20" s="57">
        <f>PAICOL2020!H$36</f>
        <v>0</v>
      </c>
      <c r="H20" s="57">
        <f>PAICOL2020!I$36</f>
        <v>0</v>
      </c>
      <c r="I20" s="57">
        <f>PAICOL2020!J$36</f>
        <v>0</v>
      </c>
      <c r="J20" s="57">
        <f>PAICOL2020!K$36</f>
        <v>0</v>
      </c>
      <c r="K20" s="57">
        <f>PAICOL2020!L$36</f>
        <v>0</v>
      </c>
      <c r="L20" s="57">
        <f>PAICOL2020!M$36</f>
        <v>0</v>
      </c>
      <c r="M20" s="57">
        <f>PAICOL2020!N$36</f>
        <v>0</v>
      </c>
      <c r="N20" s="57">
        <f>PAICOL2020!O$36</f>
        <v>58.48</v>
      </c>
      <c r="O20" s="16">
        <f>SUM(C20:N20)</f>
        <v>179.82</v>
      </c>
      <c r="V20" s="7"/>
      <c r="W20" s="8"/>
      <c r="X20" s="8"/>
    </row>
    <row r="21" spans="1:24" ht="17.25" customHeight="1" x14ac:dyDescent="0.25">
      <c r="A21" s="263"/>
      <c r="B21" s="31" t="s">
        <v>139</v>
      </c>
      <c r="C21" s="62" t="e">
        <f>IF((PAICOL2020!D$55),C20/PAICOL2020!D$55,"0")</f>
        <v>#VALUE!</v>
      </c>
      <c r="D21" s="62" t="e">
        <f>IF((PAICOL2020!E$55),D20/PAICOL2020!E$55,"0")</f>
        <v>#VALUE!</v>
      </c>
      <c r="E21" s="62" t="e">
        <f>IF((PAICOL2020!F$55),E20/PAICOL2020!F$55,"0")</f>
        <v>#VALUE!</v>
      </c>
      <c r="F21" s="62" t="e">
        <f>IF((PAICOL2020!G$55),F20/PAICOL2020!G$55,"0")</f>
        <v>#VALUE!</v>
      </c>
      <c r="G21" s="62" t="e">
        <f>IF((PAICOL2020!H$55),G20/PAICOL2020!H$55,"0")</f>
        <v>#VALUE!</v>
      </c>
      <c r="H21" s="62" t="e">
        <f>IF((PAICOL2020!I$55),H20/PAICOL2020!I$55,"0")</f>
        <v>#VALUE!</v>
      </c>
      <c r="I21" s="62" t="e">
        <f>IF((PAICOL2020!J$55),I20/PAICOL2020!J$55,"0")</f>
        <v>#VALUE!</v>
      </c>
      <c r="J21" s="62" t="e">
        <f>IF((PAICOL2020!K$55),J20/PAICOL2020!K$55,"0")</f>
        <v>#VALUE!</v>
      </c>
      <c r="K21" s="62" t="e">
        <f>IF((PAICOL2020!L$55),K20/PAICOL2020!L$55,"0")</f>
        <v>#VALUE!</v>
      </c>
      <c r="L21" s="62" t="e">
        <f>IF((PAICOL2020!M$55),L20/PAICOL2020!M$55,"0")</f>
        <v>#VALUE!</v>
      </c>
      <c r="M21" s="62" t="e">
        <f>IF((PAICOL2020!N$55),M20/PAICOL2020!N$55,"0")</f>
        <v>#VALUE!</v>
      </c>
      <c r="N21" s="62">
        <f>IF((PAICOL2020!O$55),N20/PAICOL2020!O$55,"0")</f>
        <v>61.484477064220179</v>
      </c>
      <c r="O21" s="63" t="e">
        <f>SUM(C21:N21)</f>
        <v>#VALUE!</v>
      </c>
      <c r="V21" s="7"/>
      <c r="W21" s="8"/>
      <c r="X21" s="8"/>
    </row>
    <row r="22" spans="1:24" ht="15" customHeight="1" x14ac:dyDescent="0.25">
      <c r="A22" s="294"/>
      <c r="B22" s="4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8"/>
      <c r="V22" s="7"/>
      <c r="W22" s="8"/>
      <c r="X22" s="8"/>
    </row>
    <row r="23" spans="1:24" ht="13.5" customHeight="1" thickBot="1" x14ac:dyDescent="0.3">
      <c r="A23" s="264"/>
      <c r="B23" s="67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65" t="s">
        <v>34</v>
      </c>
      <c r="B24" s="266"/>
      <c r="C24" s="267"/>
      <c r="D24" s="254" t="str">
        <f>'SET SP Paicol'!$G14</f>
        <v>Entre 80% y 100%</v>
      </c>
      <c r="E24" s="255"/>
      <c r="F24" s="255"/>
      <c r="G24" s="256"/>
      <c r="H24" s="254" t="str">
        <f>'SET SP Paicol'!$H14</f>
        <v>Entre 60% y 79%</v>
      </c>
      <c r="I24" s="255"/>
      <c r="J24" s="255"/>
      <c r="K24" s="256"/>
      <c r="L24" s="254" t="str">
        <f>'SET SP Paicol'!$I14</f>
        <v>Menor al 59%</v>
      </c>
      <c r="M24" s="259"/>
      <c r="N24" s="259"/>
      <c r="O24" s="260"/>
      <c r="V24" s="7"/>
      <c r="W24" s="8"/>
      <c r="X24" s="8"/>
    </row>
    <row r="25" spans="1:24" ht="33" customHeight="1" thickBot="1" x14ac:dyDescent="0.3">
      <c r="A25" s="268"/>
      <c r="B25" s="269"/>
      <c r="C25" s="269"/>
      <c r="D25" s="270" t="s">
        <v>7</v>
      </c>
      <c r="E25" s="270"/>
      <c r="F25" s="270"/>
      <c r="G25" s="270"/>
      <c r="H25" s="271" t="s">
        <v>61</v>
      </c>
      <c r="I25" s="271"/>
      <c r="J25" s="271"/>
      <c r="K25" s="271"/>
      <c r="L25" s="231" t="s">
        <v>62</v>
      </c>
      <c r="M25" s="231"/>
      <c r="N25" s="231"/>
      <c r="O25" s="232"/>
      <c r="V25" s="7"/>
      <c r="W25" s="8"/>
      <c r="X25" s="8"/>
    </row>
    <row r="26" spans="1:24" ht="15.75" customHeight="1" thickBot="1" x14ac:dyDescent="0.3">
      <c r="A26" s="233" t="s">
        <v>36</v>
      </c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5"/>
      <c r="V26" s="7"/>
      <c r="W26" s="8"/>
      <c r="X26" s="8"/>
    </row>
    <row r="27" spans="1:24" ht="264.75" customHeight="1" thickBot="1" x14ac:dyDescent="0.3">
      <c r="A27" s="251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3"/>
      <c r="V27" s="7"/>
    </row>
    <row r="28" spans="1:24" ht="15" customHeight="1" x14ac:dyDescent="0.25">
      <c r="A28" s="188" t="s">
        <v>58</v>
      </c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90" t="s">
        <v>60</v>
      </c>
      <c r="O28" s="191"/>
    </row>
    <row r="29" spans="1:24" ht="15" customHeight="1" x14ac:dyDescent="0.25">
      <c r="A29" s="182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6">
        <v>45658</v>
      </c>
      <c r="O29" s="187"/>
    </row>
    <row r="30" spans="1:24" ht="15" customHeight="1" x14ac:dyDescent="0.25">
      <c r="A30" s="182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6">
        <v>45689</v>
      </c>
      <c r="O30" s="187"/>
    </row>
    <row r="31" spans="1:24" ht="15" customHeight="1" x14ac:dyDescent="0.25">
      <c r="A31" s="182"/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6">
        <v>45717</v>
      </c>
      <c r="O31" s="187"/>
    </row>
    <row r="32" spans="1:24" ht="15" customHeight="1" x14ac:dyDescent="0.25">
      <c r="A32" s="182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6">
        <v>45748</v>
      </c>
      <c r="O32" s="187"/>
    </row>
    <row r="33" spans="1:17" ht="15" customHeight="1" x14ac:dyDescent="0.25">
      <c r="A33" s="182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6">
        <v>45778</v>
      </c>
      <c r="O33" s="187"/>
    </row>
    <row r="34" spans="1:17" ht="15" customHeight="1" x14ac:dyDescent="0.25">
      <c r="A34" s="182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6">
        <v>45809</v>
      </c>
      <c r="O34" s="187"/>
    </row>
    <row r="35" spans="1:17" ht="15" customHeight="1" x14ac:dyDescent="0.25">
      <c r="A35" s="182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6">
        <v>45839</v>
      </c>
      <c r="O35" s="187"/>
    </row>
    <row r="36" spans="1:17" ht="15" customHeight="1" x14ac:dyDescent="0.25">
      <c r="A36" s="182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6">
        <v>45870</v>
      </c>
      <c r="O36" s="187"/>
    </row>
    <row r="37" spans="1:17" ht="15" customHeight="1" x14ac:dyDescent="0.25">
      <c r="A37" s="182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6">
        <v>45901</v>
      </c>
      <c r="O37" s="187"/>
    </row>
    <row r="38" spans="1:17" ht="15" customHeight="1" x14ac:dyDescent="0.25">
      <c r="A38" s="182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6">
        <v>45931</v>
      </c>
      <c r="O38" s="187"/>
    </row>
    <row r="39" spans="1:17" ht="15" customHeight="1" x14ac:dyDescent="0.25">
      <c r="A39" s="182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6">
        <v>45962</v>
      </c>
      <c r="O39" s="187"/>
    </row>
    <row r="40" spans="1:17" ht="15" customHeight="1" thickBot="1" x14ac:dyDescent="0.3">
      <c r="A40" s="182"/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6">
        <v>45992</v>
      </c>
      <c r="O40" s="187"/>
    </row>
    <row r="41" spans="1:17" ht="25.5" customHeight="1" x14ac:dyDescent="0.25">
      <c r="A41" s="188" t="s">
        <v>59</v>
      </c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90" t="s">
        <v>60</v>
      </c>
      <c r="O41" s="191"/>
    </row>
    <row r="42" spans="1:17" ht="15" x14ac:dyDescent="0.25">
      <c r="A42" s="182"/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4"/>
      <c r="O42" s="185"/>
    </row>
    <row r="43" spans="1:17" ht="15.75" thickBot="1" x14ac:dyDescent="0.3">
      <c r="A43" s="283"/>
      <c r="B43" s="284"/>
      <c r="C43" s="284"/>
      <c r="D43" s="284"/>
      <c r="E43" s="284"/>
      <c r="F43" s="284"/>
      <c r="G43" s="284"/>
      <c r="H43" s="284"/>
      <c r="I43" s="284"/>
      <c r="J43" s="284"/>
      <c r="K43" s="284"/>
      <c r="L43" s="284"/>
      <c r="M43" s="284"/>
      <c r="N43" s="284"/>
      <c r="O43" s="285"/>
    </row>
    <row r="44" spans="1:17" ht="6" customHeight="1" x14ac:dyDescent="0.25">
      <c r="A44" s="250"/>
      <c r="B44" s="250"/>
      <c r="C44" s="250"/>
      <c r="D44" s="250"/>
      <c r="E44" s="250"/>
      <c r="F44" s="250"/>
      <c r="G44" s="250"/>
      <c r="H44" s="250"/>
      <c r="I44" s="250"/>
      <c r="J44" s="250"/>
      <c r="K44" s="250"/>
      <c r="L44" s="250"/>
      <c r="M44" s="250"/>
      <c r="N44" s="250"/>
      <c r="O44" s="250"/>
    </row>
    <row r="46" spans="1:17" ht="14.25" x14ac:dyDescent="0.2">
      <c r="Q46" s="40" t="s">
        <v>80</v>
      </c>
    </row>
    <row r="47" spans="1:17" ht="14.25" x14ac:dyDescent="0.2">
      <c r="Q47" s="40" t="s">
        <v>81</v>
      </c>
    </row>
    <row r="48" spans="1:17" ht="14.25" x14ac:dyDescent="0.2">
      <c r="Q48" s="40" t="s">
        <v>82</v>
      </c>
    </row>
    <row r="49" spans="17:17" ht="14.25" x14ac:dyDescent="0.2">
      <c r="Q49" s="40" t="s">
        <v>83</v>
      </c>
    </row>
    <row r="50" spans="17:17" ht="14.25" x14ac:dyDescent="0.2">
      <c r="Q50" s="40" t="s">
        <v>84</v>
      </c>
    </row>
    <row r="51" spans="17:17" ht="14.25" x14ac:dyDescent="0.2">
      <c r="Q51" s="40" t="s">
        <v>85</v>
      </c>
    </row>
    <row r="52" spans="17:17" ht="14.25" x14ac:dyDescent="0.2">
      <c r="Q52" s="40" t="s">
        <v>86</v>
      </c>
    </row>
    <row r="53" spans="17:17" ht="14.25" x14ac:dyDescent="0.2">
      <c r="Q53" s="40" t="s">
        <v>87</v>
      </c>
    </row>
    <row r="54" spans="17:17" ht="14.25" x14ac:dyDescent="0.2">
      <c r="Q54" s="40" t="s">
        <v>88</v>
      </c>
    </row>
    <row r="55" spans="17:17" ht="14.25" x14ac:dyDescent="0.2">
      <c r="Q55" s="40" t="s">
        <v>89</v>
      </c>
    </row>
    <row r="56" spans="17:17" ht="14.25" x14ac:dyDescent="0.2">
      <c r="Q56" s="40" t="s">
        <v>90</v>
      </c>
    </row>
    <row r="57" spans="17:17" ht="14.25" x14ac:dyDescent="0.2">
      <c r="Q57" s="40" t="s">
        <v>91</v>
      </c>
    </row>
    <row r="58" spans="17:17" ht="14.25" x14ac:dyDescent="0.2">
      <c r="Q58" s="40" t="s">
        <v>92</v>
      </c>
    </row>
    <row r="60" spans="17:17" x14ac:dyDescent="0.25">
      <c r="Q60" s="22">
        <v>0.92</v>
      </c>
    </row>
    <row r="61" spans="17:17" x14ac:dyDescent="0.25">
      <c r="Q61" s="22">
        <v>1</v>
      </c>
    </row>
  </sheetData>
  <mergeCells count="76">
    <mergeCell ref="A44:O44"/>
    <mergeCell ref="N10:O10"/>
    <mergeCell ref="A11:D11"/>
    <mergeCell ref="F11:G11"/>
    <mergeCell ref="L24:O24"/>
    <mergeCell ref="D25:G25"/>
    <mergeCell ref="H25:K25"/>
    <mergeCell ref="H24:K24"/>
    <mergeCell ref="A24:C25"/>
    <mergeCell ref="D24:G24"/>
    <mergeCell ref="I9:I10"/>
    <mergeCell ref="A41:M41"/>
    <mergeCell ref="N41:O41"/>
    <mergeCell ref="A42:M42"/>
    <mergeCell ref="N42:O42"/>
    <mergeCell ref="A28:M28"/>
    <mergeCell ref="A7:E7"/>
    <mergeCell ref="A18:B18"/>
    <mergeCell ref="A19:B19"/>
    <mergeCell ref="A20:A23"/>
    <mergeCell ref="A17:B17"/>
    <mergeCell ref="A14:O14"/>
    <mergeCell ref="A15:O15"/>
    <mergeCell ref="A16:B16"/>
    <mergeCell ref="F7:O7"/>
    <mergeCell ref="A43:M43"/>
    <mergeCell ref="N43:O43"/>
    <mergeCell ref="D1:O1"/>
    <mergeCell ref="D4:O4"/>
    <mergeCell ref="A5:E5"/>
    <mergeCell ref="F5:O5"/>
    <mergeCell ref="A6:E6"/>
    <mergeCell ref="F6:O6"/>
    <mergeCell ref="A1:C4"/>
    <mergeCell ref="G8:O8"/>
    <mergeCell ref="A8:E8"/>
    <mergeCell ref="A9:D10"/>
    <mergeCell ref="E9:E10"/>
    <mergeCell ref="F9:G10"/>
    <mergeCell ref="H9:H10"/>
    <mergeCell ref="N34:O34"/>
    <mergeCell ref="A31:M31"/>
    <mergeCell ref="N31:O31"/>
    <mergeCell ref="A32:M32"/>
    <mergeCell ref="N32:O32"/>
    <mergeCell ref="A33:M33"/>
    <mergeCell ref="N33:O33"/>
    <mergeCell ref="N28:O28"/>
    <mergeCell ref="A29:M29"/>
    <mergeCell ref="N29:O29"/>
    <mergeCell ref="A30:M30"/>
    <mergeCell ref="N30:O30"/>
    <mergeCell ref="A40:M40"/>
    <mergeCell ref="N40:O40"/>
    <mergeCell ref="A37:M37"/>
    <mergeCell ref="N37:O37"/>
    <mergeCell ref="A38:M38"/>
    <mergeCell ref="N38:O38"/>
    <mergeCell ref="A39:M39"/>
    <mergeCell ref="N39:O39"/>
    <mergeCell ref="D2:O2"/>
    <mergeCell ref="D3:O3"/>
    <mergeCell ref="A35:M35"/>
    <mergeCell ref="N35:O35"/>
    <mergeCell ref="A36:M36"/>
    <mergeCell ref="N36:O36"/>
    <mergeCell ref="A34:M34"/>
    <mergeCell ref="J9:K10"/>
    <mergeCell ref="L9:O9"/>
    <mergeCell ref="L10:M10"/>
    <mergeCell ref="A12:O12"/>
    <mergeCell ref="J11:O11"/>
    <mergeCell ref="A27:O27"/>
    <mergeCell ref="L25:O25"/>
    <mergeCell ref="A26:O26"/>
    <mergeCell ref="A13:O13"/>
  </mergeCells>
  <dataValidations count="1">
    <dataValidation type="list" allowBlank="1" showInputMessage="1" showErrorMessage="1" sqref="J11:O11" xr:uid="{00000000-0002-0000-0700-000000000000}">
      <formula1>$Q$46:$Q$58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X61"/>
  <sheetViews>
    <sheetView topLeftCell="A27" zoomScaleSheetLayoutView="72" workbookViewId="0">
      <selection activeCell="N29" sqref="N29:O40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1" width="7.7109375" style="2" customWidth="1"/>
    <col min="12" max="12" width="8.28515625" style="2" customWidth="1"/>
    <col min="13" max="15" width="7.7109375" style="2" customWidth="1"/>
    <col min="16" max="16" width="6.85546875" style="2" customWidth="1"/>
    <col min="17" max="18" width="6.85546875" style="2" hidden="1" customWidth="1"/>
    <col min="19" max="19" width="6.85546875" style="2" customWidth="1"/>
    <col min="20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3.5" customHeight="1" x14ac:dyDescent="0.25">
      <c r="A1" s="195"/>
      <c r="B1" s="196"/>
      <c r="C1" s="196"/>
      <c r="D1" s="179" t="s">
        <v>251</v>
      </c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1"/>
    </row>
    <row r="2" spans="1:24" ht="12" customHeight="1" x14ac:dyDescent="0.25">
      <c r="A2" s="197"/>
      <c r="B2" s="198"/>
      <c r="C2" s="198"/>
      <c r="D2" s="308" t="s">
        <v>272</v>
      </c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10"/>
    </row>
    <row r="3" spans="1:24" ht="14.25" customHeight="1" x14ac:dyDescent="0.25">
      <c r="A3" s="197"/>
      <c r="B3" s="198"/>
      <c r="C3" s="198"/>
      <c r="D3" s="311" t="s">
        <v>20</v>
      </c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3"/>
    </row>
    <row r="4" spans="1:24" ht="12.75" customHeight="1" thickBot="1" x14ac:dyDescent="0.3">
      <c r="A4" s="199"/>
      <c r="B4" s="200"/>
      <c r="C4" s="200"/>
      <c r="D4" s="192" t="s">
        <v>269</v>
      </c>
      <c r="E4" s="193"/>
      <c r="F4" s="193"/>
      <c r="G4" s="193"/>
      <c r="H4" s="193"/>
      <c r="I4" s="193"/>
      <c r="J4" s="193"/>
      <c r="K4" s="193"/>
      <c r="L4" s="193"/>
      <c r="M4" s="193"/>
      <c r="N4" s="193"/>
      <c r="O4" s="194"/>
    </row>
    <row r="5" spans="1:24" ht="13.5" customHeight="1" x14ac:dyDescent="0.25">
      <c r="A5" s="201" t="s">
        <v>0</v>
      </c>
      <c r="B5" s="202"/>
      <c r="C5" s="202"/>
      <c r="D5" s="202"/>
      <c r="E5" s="202"/>
      <c r="F5" s="202" t="str">
        <f>'SET SP Paicol'!J5</f>
        <v>GESTIÓN DE SERVICIOS PÚBLICOS - PAICOL</v>
      </c>
      <c r="G5" s="202"/>
      <c r="H5" s="202"/>
      <c r="I5" s="202"/>
      <c r="J5" s="202"/>
      <c r="K5" s="202"/>
      <c r="L5" s="202"/>
      <c r="M5" s="202"/>
      <c r="N5" s="202"/>
      <c r="O5" s="203"/>
    </row>
    <row r="6" spans="1:24" ht="15.75" customHeight="1" x14ac:dyDescent="0.25">
      <c r="A6" s="204" t="s">
        <v>1</v>
      </c>
      <c r="B6" s="205"/>
      <c r="C6" s="205"/>
      <c r="D6" s="205"/>
      <c r="E6" s="205"/>
      <c r="F6" s="206" t="str">
        <f>'SET SP Paicol'!$B15</f>
        <v>Cobertura de medición</v>
      </c>
      <c r="G6" s="206"/>
      <c r="H6" s="206"/>
      <c r="I6" s="206"/>
      <c r="J6" s="206"/>
      <c r="K6" s="206"/>
      <c r="L6" s="206"/>
      <c r="M6" s="206"/>
      <c r="N6" s="206"/>
      <c r="O6" s="272"/>
    </row>
    <row r="7" spans="1:24" ht="15.75" customHeight="1" x14ac:dyDescent="0.25">
      <c r="A7" s="204" t="s">
        <v>55</v>
      </c>
      <c r="B7" s="205"/>
      <c r="C7" s="205"/>
      <c r="D7" s="205"/>
      <c r="E7" s="205"/>
      <c r="F7" s="223" t="str">
        <f>'SET SP Paicol'!F15</f>
        <v xml:space="preserve">Eficiencia </v>
      </c>
      <c r="G7" s="224"/>
      <c r="H7" s="224"/>
      <c r="I7" s="224"/>
      <c r="J7" s="224"/>
      <c r="K7" s="224"/>
      <c r="L7" s="224"/>
      <c r="M7" s="224"/>
      <c r="N7" s="224"/>
      <c r="O7" s="225"/>
    </row>
    <row r="8" spans="1:24" ht="17.25" customHeight="1" thickBot="1" x14ac:dyDescent="0.3">
      <c r="A8" s="209" t="s">
        <v>21</v>
      </c>
      <c r="B8" s="210"/>
      <c r="C8" s="210"/>
      <c r="D8" s="210"/>
      <c r="E8" s="210"/>
      <c r="F8" s="23" t="s">
        <v>93</v>
      </c>
      <c r="G8" s="211" t="str">
        <f>'SET SP Paicol'!A15</f>
        <v>IN08</v>
      </c>
      <c r="H8" s="211"/>
      <c r="I8" s="211"/>
      <c r="J8" s="211"/>
      <c r="K8" s="211"/>
      <c r="L8" s="211"/>
      <c r="M8" s="211"/>
      <c r="N8" s="211"/>
      <c r="O8" s="276"/>
    </row>
    <row r="9" spans="1:24" ht="12.75" customHeight="1" x14ac:dyDescent="0.25">
      <c r="A9" s="214" t="s">
        <v>22</v>
      </c>
      <c r="B9" s="215"/>
      <c r="C9" s="215"/>
      <c r="D9" s="215"/>
      <c r="E9" s="218" t="s">
        <v>23</v>
      </c>
      <c r="F9" s="218" t="s">
        <v>24</v>
      </c>
      <c r="G9" s="218"/>
      <c r="H9" s="218" t="s">
        <v>25</v>
      </c>
      <c r="I9" s="218" t="s">
        <v>26</v>
      </c>
      <c r="J9" s="218" t="s">
        <v>27</v>
      </c>
      <c r="K9" s="218"/>
      <c r="L9" s="220" t="s">
        <v>28</v>
      </c>
      <c r="M9" s="220"/>
      <c r="N9" s="220"/>
      <c r="O9" s="221"/>
    </row>
    <row r="10" spans="1:24" ht="46.5" customHeight="1" x14ac:dyDescent="0.25">
      <c r="A10" s="216"/>
      <c r="B10" s="217"/>
      <c r="C10" s="217"/>
      <c r="D10" s="217"/>
      <c r="E10" s="219"/>
      <c r="F10" s="219"/>
      <c r="G10" s="219"/>
      <c r="H10" s="219"/>
      <c r="I10" s="219"/>
      <c r="J10" s="219"/>
      <c r="K10" s="219"/>
      <c r="L10" s="217" t="s">
        <v>29</v>
      </c>
      <c r="M10" s="217"/>
      <c r="N10" s="217" t="s">
        <v>30</v>
      </c>
      <c r="O10" s="222"/>
    </row>
    <row r="11" spans="1:24" ht="57.75" customHeight="1" thickBot="1" x14ac:dyDescent="0.3">
      <c r="A11" s="226" t="str">
        <f>'SET SP Paicol'!$C15</f>
        <v>Lograr que los suscriptores del servicio de acueducto de Aguas del Huila, tengan su instrumento medición.</v>
      </c>
      <c r="B11" s="227"/>
      <c r="C11" s="227"/>
      <c r="D11" s="227"/>
      <c r="E11" s="14" t="s">
        <v>35</v>
      </c>
      <c r="F11" s="295" t="str">
        <f>'SET SP Paicol'!$D15</f>
        <v xml:space="preserve">(Número de Medidores en servicio / Número de Suscriptores) x 100%          </v>
      </c>
      <c r="G11" s="296"/>
      <c r="H11" s="19">
        <f>$O18</f>
        <v>0.9</v>
      </c>
      <c r="I11" s="13" t="str">
        <f>'SET SP Paicol'!$E15</f>
        <v>Trimestral</v>
      </c>
      <c r="J11" s="228" t="s">
        <v>88</v>
      </c>
      <c r="K11" s="229"/>
      <c r="L11" s="229"/>
      <c r="M11" s="229"/>
      <c r="N11" s="229"/>
      <c r="O11" s="230"/>
    </row>
    <row r="12" spans="1:24" ht="13.5" customHeight="1" x14ac:dyDescent="0.25">
      <c r="A12" s="236" t="s">
        <v>38</v>
      </c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8"/>
    </row>
    <row r="13" spans="1:24" ht="24.75" customHeight="1" thickBot="1" x14ac:dyDescent="0.3">
      <c r="A13" s="239"/>
      <c r="B13" s="240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1"/>
    </row>
    <row r="14" spans="1:24" ht="15" customHeight="1" thickBot="1" x14ac:dyDescent="0.3">
      <c r="A14" s="288" t="s">
        <v>31</v>
      </c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  <c r="N14" s="289"/>
      <c r="O14" s="290"/>
      <c r="V14" s="7"/>
      <c r="W14" s="6"/>
      <c r="X14" s="6"/>
    </row>
    <row r="15" spans="1:24" ht="16.5" customHeight="1" x14ac:dyDescent="0.25">
      <c r="A15" s="245" t="s">
        <v>267</v>
      </c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7"/>
      <c r="V15" s="7"/>
      <c r="W15" s="8"/>
      <c r="X15" s="8"/>
    </row>
    <row r="16" spans="1:24" ht="16.5" customHeight="1" x14ac:dyDescent="0.25">
      <c r="A16" s="248" t="s">
        <v>32</v>
      </c>
      <c r="B16" s="249"/>
      <c r="C16" s="66" t="s">
        <v>8</v>
      </c>
      <c r="D16" s="66" t="s">
        <v>9</v>
      </c>
      <c r="E16" s="66" t="s">
        <v>10</v>
      </c>
      <c r="F16" s="66" t="s">
        <v>11</v>
      </c>
      <c r="G16" s="66" t="s">
        <v>12</v>
      </c>
      <c r="H16" s="66" t="s">
        <v>13</v>
      </c>
      <c r="I16" s="66" t="s">
        <v>14</v>
      </c>
      <c r="J16" s="66" t="s">
        <v>15</v>
      </c>
      <c r="K16" s="66" t="s">
        <v>16</v>
      </c>
      <c r="L16" s="66" t="s">
        <v>17</v>
      </c>
      <c r="M16" s="66" t="s">
        <v>18</v>
      </c>
      <c r="N16" s="66" t="s">
        <v>19</v>
      </c>
      <c r="O16" s="5" t="s">
        <v>33</v>
      </c>
      <c r="V16" s="7"/>
      <c r="W16" s="8"/>
      <c r="X16" s="8"/>
    </row>
    <row r="17" spans="1:24" ht="16.5" customHeight="1" x14ac:dyDescent="0.25">
      <c r="A17" s="257" t="s">
        <v>39</v>
      </c>
      <c r="B17" s="258"/>
      <c r="C17" s="54">
        <f t="shared" ref="C17:N17" si="0">$O$17</f>
        <v>0.98</v>
      </c>
      <c r="D17" s="54">
        <f t="shared" si="0"/>
        <v>0.98</v>
      </c>
      <c r="E17" s="54">
        <f t="shared" si="0"/>
        <v>0.98</v>
      </c>
      <c r="F17" s="54">
        <f t="shared" si="0"/>
        <v>0.98</v>
      </c>
      <c r="G17" s="54">
        <f t="shared" si="0"/>
        <v>0.98</v>
      </c>
      <c r="H17" s="54">
        <f t="shared" si="0"/>
        <v>0.98</v>
      </c>
      <c r="I17" s="54">
        <f t="shared" si="0"/>
        <v>0.98</v>
      </c>
      <c r="J17" s="54">
        <f t="shared" si="0"/>
        <v>0.98</v>
      </c>
      <c r="K17" s="54">
        <f t="shared" si="0"/>
        <v>0.98</v>
      </c>
      <c r="L17" s="54">
        <f t="shared" si="0"/>
        <v>0.98</v>
      </c>
      <c r="M17" s="54">
        <f t="shared" si="0"/>
        <v>0.98</v>
      </c>
      <c r="N17" s="54">
        <f t="shared" si="0"/>
        <v>0.98</v>
      </c>
      <c r="O17" s="113">
        <f>'SET SP Paicol'!J15</f>
        <v>0.98</v>
      </c>
      <c r="V17" s="7"/>
      <c r="W17" s="8"/>
      <c r="X17" s="8"/>
    </row>
    <row r="18" spans="1:24" ht="17.25" customHeight="1" x14ac:dyDescent="0.25">
      <c r="A18" s="257" t="s">
        <v>268</v>
      </c>
      <c r="B18" s="258"/>
      <c r="C18" s="54">
        <f t="shared" ref="C18:N18" si="1">$O$18</f>
        <v>0.9</v>
      </c>
      <c r="D18" s="54">
        <f t="shared" si="1"/>
        <v>0.9</v>
      </c>
      <c r="E18" s="54">
        <f t="shared" si="1"/>
        <v>0.9</v>
      </c>
      <c r="F18" s="54">
        <f t="shared" si="1"/>
        <v>0.9</v>
      </c>
      <c r="G18" s="54">
        <f t="shared" si="1"/>
        <v>0.9</v>
      </c>
      <c r="H18" s="54">
        <f t="shared" si="1"/>
        <v>0.9</v>
      </c>
      <c r="I18" s="54">
        <f t="shared" si="1"/>
        <v>0.9</v>
      </c>
      <c r="J18" s="54">
        <f t="shared" si="1"/>
        <v>0.9</v>
      </c>
      <c r="K18" s="54">
        <f t="shared" si="1"/>
        <v>0.9</v>
      </c>
      <c r="L18" s="54">
        <f t="shared" si="1"/>
        <v>0.9</v>
      </c>
      <c r="M18" s="54">
        <f t="shared" si="1"/>
        <v>0.9</v>
      </c>
      <c r="N18" s="54">
        <f t="shared" si="1"/>
        <v>0.9</v>
      </c>
      <c r="O18" s="113">
        <f>'SET SP Paicol'!K15</f>
        <v>0.9</v>
      </c>
      <c r="V18" s="7"/>
      <c r="W18" s="8"/>
      <c r="X18" s="8"/>
    </row>
    <row r="19" spans="1:24" ht="17.25" customHeight="1" x14ac:dyDescent="0.25">
      <c r="A19" s="261" t="s">
        <v>263</v>
      </c>
      <c r="B19" s="262"/>
      <c r="C19" s="10">
        <f t="shared" ref="C19:E19" si="2">IF((C21),C20/C21,"-")</f>
        <v>0.88288288288288286</v>
      </c>
      <c r="D19" s="10">
        <f t="shared" si="2"/>
        <v>0.87917042380522992</v>
      </c>
      <c r="E19" s="10">
        <f t="shared" si="2"/>
        <v>0.90450450450450448</v>
      </c>
      <c r="F19" s="10">
        <f>IF((F21),F20/F21,"-")</f>
        <v>0.90785907859078596</v>
      </c>
      <c r="G19" s="10" t="str">
        <f t="shared" ref="G19:O19" si="3">IF((G21),G20/G21,"-")</f>
        <v>-</v>
      </c>
      <c r="H19" s="10" t="str">
        <f t="shared" si="3"/>
        <v>-</v>
      </c>
      <c r="I19" s="10" t="str">
        <f t="shared" si="3"/>
        <v>-</v>
      </c>
      <c r="J19" s="10" t="str">
        <f t="shared" si="3"/>
        <v>-</v>
      </c>
      <c r="K19" s="10" t="str">
        <f t="shared" si="3"/>
        <v>-</v>
      </c>
      <c r="L19" s="10" t="str">
        <f t="shared" si="3"/>
        <v>-</v>
      </c>
      <c r="M19" s="10" t="str">
        <f t="shared" si="3"/>
        <v>-</v>
      </c>
      <c r="N19" s="10">
        <f t="shared" si="3"/>
        <v>0.82399999999999995</v>
      </c>
      <c r="O19" s="11">
        <f t="shared" si="3"/>
        <v>0.87951807228915657</v>
      </c>
      <c r="V19" s="7"/>
      <c r="W19" s="8"/>
      <c r="X19" s="8"/>
    </row>
    <row r="20" spans="1:24" ht="16.5" customHeight="1" x14ac:dyDescent="0.25">
      <c r="A20" s="263" t="s">
        <v>37</v>
      </c>
      <c r="B20" s="31" t="s">
        <v>140</v>
      </c>
      <c r="C20" s="20">
        <f>+PAICOL2020!D38</f>
        <v>980</v>
      </c>
      <c r="D20" s="20">
        <f>+PAICOL2020!E38</f>
        <v>975</v>
      </c>
      <c r="E20" s="20">
        <f>+PAICOL2020!F38</f>
        <v>1004</v>
      </c>
      <c r="F20" s="20">
        <f>+PAICOL2020!G38</f>
        <v>1005</v>
      </c>
      <c r="G20" s="20">
        <f>+PAICOL2020!H38</f>
        <v>0</v>
      </c>
      <c r="H20" s="20">
        <f>+PAICOL2020!I38</f>
        <v>0</v>
      </c>
      <c r="I20" s="20">
        <f>+PAICOL2020!J38</f>
        <v>0</v>
      </c>
      <c r="J20" s="20">
        <f>+PAICOL2020!K38</f>
        <v>0</v>
      </c>
      <c r="K20" s="20">
        <f>+PAICOL2020!L38</f>
        <v>0</v>
      </c>
      <c r="L20" s="20">
        <f>+PAICOL2020!M38</f>
        <v>0</v>
      </c>
      <c r="M20" s="20">
        <f>+PAICOL2020!N38</f>
        <v>0</v>
      </c>
      <c r="N20" s="20">
        <f>+PAICOL2020!O38</f>
        <v>927</v>
      </c>
      <c r="O20" s="21">
        <f>SUM(C20:N20)</f>
        <v>4891</v>
      </c>
      <c r="V20" s="7"/>
      <c r="W20" s="8"/>
      <c r="X20" s="8"/>
    </row>
    <row r="21" spans="1:24" ht="14.25" customHeight="1" x14ac:dyDescent="0.25">
      <c r="A21" s="263"/>
      <c r="B21" s="31" t="s">
        <v>136</v>
      </c>
      <c r="C21" s="20">
        <f>'05'!C20</f>
        <v>1110</v>
      </c>
      <c r="D21" s="20">
        <f>'05'!D20</f>
        <v>1109</v>
      </c>
      <c r="E21" s="20">
        <f>'05'!E20</f>
        <v>1110</v>
      </c>
      <c r="F21" s="20">
        <f>'05'!F20</f>
        <v>1107</v>
      </c>
      <c r="G21" s="20">
        <f>'05'!G20</f>
        <v>0</v>
      </c>
      <c r="H21" s="20">
        <f>'05'!H20</f>
        <v>0</v>
      </c>
      <c r="I21" s="20">
        <f>'05'!I20</f>
        <v>0</v>
      </c>
      <c r="J21" s="20">
        <f>'05'!J20</f>
        <v>0</v>
      </c>
      <c r="K21" s="20">
        <f>'05'!K20</f>
        <v>0</v>
      </c>
      <c r="L21" s="20">
        <f>'05'!L20</f>
        <v>0</v>
      </c>
      <c r="M21" s="20">
        <f>'05'!M20</f>
        <v>0</v>
      </c>
      <c r="N21" s="20">
        <f>'05'!N20</f>
        <v>1125</v>
      </c>
      <c r="O21" s="21">
        <f>SUM(C21:N21)</f>
        <v>5561</v>
      </c>
      <c r="V21" s="7"/>
      <c r="W21" s="8"/>
      <c r="X21" s="8"/>
    </row>
    <row r="22" spans="1:24" ht="14.25" customHeight="1" x14ac:dyDescent="0.25">
      <c r="A22" s="294"/>
      <c r="B22" s="4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8"/>
      <c r="V22" s="7"/>
      <c r="W22" s="8"/>
      <c r="X22" s="8"/>
    </row>
    <row r="23" spans="1:24" ht="14.25" customHeight="1" thickBot="1" x14ac:dyDescent="0.3">
      <c r="A23" s="264"/>
      <c r="B23" s="67" t="s">
        <v>3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17"/>
      <c r="V23" s="7"/>
      <c r="W23" s="8"/>
      <c r="X23" s="8"/>
    </row>
    <row r="24" spans="1:24" ht="14.25" customHeight="1" thickBot="1" x14ac:dyDescent="0.3">
      <c r="A24" s="265" t="s">
        <v>34</v>
      </c>
      <c r="B24" s="266"/>
      <c r="C24" s="267"/>
      <c r="D24" s="254" t="str">
        <f>'SET SP Paicol'!$G15</f>
        <v>Entre 80% y 100%</v>
      </c>
      <c r="E24" s="255"/>
      <c r="F24" s="255"/>
      <c r="G24" s="256"/>
      <c r="H24" s="254" t="str">
        <f>'SET SP Paicol'!$H15</f>
        <v>Entre 60% y 79%</v>
      </c>
      <c r="I24" s="255"/>
      <c r="J24" s="255"/>
      <c r="K24" s="256"/>
      <c r="L24" s="254" t="str">
        <f>'SET SP Paicol'!$I15</f>
        <v>Menor al 59%</v>
      </c>
      <c r="M24" s="259"/>
      <c r="N24" s="259"/>
      <c r="O24" s="260"/>
      <c r="V24" s="7"/>
      <c r="W24" s="8"/>
      <c r="X24" s="8"/>
    </row>
    <row r="25" spans="1:24" ht="33" customHeight="1" thickBot="1" x14ac:dyDescent="0.3">
      <c r="A25" s="268"/>
      <c r="B25" s="269"/>
      <c r="C25" s="269"/>
      <c r="D25" s="270" t="s">
        <v>7</v>
      </c>
      <c r="E25" s="270"/>
      <c r="F25" s="270"/>
      <c r="G25" s="270"/>
      <c r="H25" s="271" t="s">
        <v>61</v>
      </c>
      <c r="I25" s="271"/>
      <c r="J25" s="271"/>
      <c r="K25" s="271"/>
      <c r="L25" s="231" t="s">
        <v>62</v>
      </c>
      <c r="M25" s="231"/>
      <c r="N25" s="231"/>
      <c r="O25" s="232"/>
      <c r="V25" s="7"/>
      <c r="W25" s="8"/>
      <c r="X25" s="8"/>
    </row>
    <row r="26" spans="1:24" ht="15.75" customHeight="1" thickBot="1" x14ac:dyDescent="0.3">
      <c r="A26" s="233" t="s">
        <v>36</v>
      </c>
      <c r="B26" s="234"/>
      <c r="C26" s="234"/>
      <c r="D26" s="234"/>
      <c r="E26" s="234"/>
      <c r="F26" s="234"/>
      <c r="G26" s="234"/>
      <c r="H26" s="234"/>
      <c r="I26" s="234"/>
      <c r="J26" s="234"/>
      <c r="K26" s="234"/>
      <c r="L26" s="234"/>
      <c r="M26" s="234"/>
      <c r="N26" s="234"/>
      <c r="O26" s="235"/>
      <c r="V26" s="7"/>
      <c r="W26" s="8"/>
      <c r="X26" s="8"/>
    </row>
    <row r="27" spans="1:24" ht="264.75" customHeight="1" thickBot="1" x14ac:dyDescent="0.3">
      <c r="A27" s="251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3"/>
      <c r="V27" s="7"/>
    </row>
    <row r="28" spans="1:24" ht="15" customHeight="1" x14ac:dyDescent="0.25">
      <c r="A28" s="188" t="s">
        <v>58</v>
      </c>
      <c r="B28" s="189"/>
      <c r="C28" s="189"/>
      <c r="D28" s="189"/>
      <c r="E28" s="189"/>
      <c r="F28" s="189"/>
      <c r="G28" s="189"/>
      <c r="H28" s="189"/>
      <c r="I28" s="189"/>
      <c r="J28" s="189"/>
      <c r="K28" s="189"/>
      <c r="L28" s="189"/>
      <c r="M28" s="189"/>
      <c r="N28" s="190" t="s">
        <v>60</v>
      </c>
      <c r="O28" s="191"/>
    </row>
    <row r="29" spans="1:24" ht="15" customHeight="1" x14ac:dyDescent="0.25">
      <c r="A29" s="182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6">
        <v>45658</v>
      </c>
      <c r="O29" s="187"/>
    </row>
    <row r="30" spans="1:24" ht="15" customHeight="1" x14ac:dyDescent="0.25">
      <c r="A30" s="182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6">
        <v>45689</v>
      </c>
      <c r="O30" s="187"/>
    </row>
    <row r="31" spans="1:24" ht="15" customHeight="1" x14ac:dyDescent="0.25">
      <c r="A31" s="182"/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6">
        <v>45717</v>
      </c>
      <c r="O31" s="187"/>
    </row>
    <row r="32" spans="1:24" ht="15" customHeight="1" x14ac:dyDescent="0.25">
      <c r="A32" s="182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6">
        <v>45748</v>
      </c>
      <c r="O32" s="187"/>
    </row>
    <row r="33" spans="1:17" ht="15" customHeight="1" x14ac:dyDescent="0.25">
      <c r="A33" s="182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6">
        <v>45778</v>
      </c>
      <c r="O33" s="187"/>
    </row>
    <row r="34" spans="1:17" ht="15" customHeight="1" x14ac:dyDescent="0.25">
      <c r="A34" s="182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6">
        <v>45809</v>
      </c>
      <c r="O34" s="187"/>
    </row>
    <row r="35" spans="1:17" ht="15" customHeight="1" x14ac:dyDescent="0.25">
      <c r="A35" s="182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6">
        <v>45839</v>
      </c>
      <c r="O35" s="187"/>
    </row>
    <row r="36" spans="1:17" ht="15" customHeight="1" x14ac:dyDescent="0.25">
      <c r="A36" s="182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6">
        <v>45870</v>
      </c>
      <c r="O36" s="187"/>
    </row>
    <row r="37" spans="1:17" ht="15" customHeight="1" x14ac:dyDescent="0.25">
      <c r="A37" s="182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6">
        <v>45901</v>
      </c>
      <c r="O37" s="187"/>
    </row>
    <row r="38" spans="1:17" ht="15" customHeight="1" x14ac:dyDescent="0.25">
      <c r="A38" s="182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6">
        <v>45931</v>
      </c>
      <c r="O38" s="187"/>
    </row>
    <row r="39" spans="1:17" ht="15" customHeight="1" x14ac:dyDescent="0.25">
      <c r="A39" s="182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6">
        <v>45962</v>
      </c>
      <c r="O39" s="187"/>
    </row>
    <row r="40" spans="1:17" ht="15" customHeight="1" thickBot="1" x14ac:dyDescent="0.3">
      <c r="A40" s="182"/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6">
        <v>45992</v>
      </c>
      <c r="O40" s="187"/>
    </row>
    <row r="41" spans="1:17" ht="25.5" customHeight="1" x14ac:dyDescent="0.25">
      <c r="A41" s="188" t="s">
        <v>59</v>
      </c>
      <c r="B41" s="189"/>
      <c r="C41" s="189"/>
      <c r="D41" s="189"/>
      <c r="E41" s="189"/>
      <c r="F41" s="189"/>
      <c r="G41" s="189"/>
      <c r="H41" s="189"/>
      <c r="I41" s="189"/>
      <c r="J41" s="189"/>
      <c r="K41" s="189"/>
      <c r="L41" s="189"/>
      <c r="M41" s="189"/>
      <c r="N41" s="190" t="s">
        <v>60</v>
      </c>
      <c r="O41" s="191"/>
    </row>
    <row r="42" spans="1:17" ht="15" x14ac:dyDescent="0.25">
      <c r="A42" s="182" t="s">
        <v>3</v>
      </c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4" t="s">
        <v>3</v>
      </c>
      <c r="O42" s="185"/>
    </row>
    <row r="43" spans="1:17" ht="15.75" thickBot="1" x14ac:dyDescent="0.3">
      <c r="A43" s="283"/>
      <c r="B43" s="284"/>
      <c r="C43" s="284"/>
      <c r="D43" s="284"/>
      <c r="E43" s="284"/>
      <c r="F43" s="284"/>
      <c r="G43" s="284"/>
      <c r="H43" s="284"/>
      <c r="I43" s="284"/>
      <c r="J43" s="284"/>
      <c r="K43" s="284"/>
      <c r="L43" s="284"/>
      <c r="M43" s="284"/>
      <c r="N43" s="284"/>
      <c r="O43" s="285"/>
    </row>
    <row r="44" spans="1:17" ht="3.75" customHeight="1" x14ac:dyDescent="0.25">
      <c r="A44" s="250"/>
      <c r="B44" s="250"/>
      <c r="C44" s="250"/>
      <c r="D44" s="250"/>
      <c r="E44" s="250"/>
      <c r="F44" s="250"/>
      <c r="G44" s="250"/>
      <c r="H44" s="250"/>
      <c r="I44" s="250"/>
      <c r="J44" s="250"/>
      <c r="K44" s="250"/>
      <c r="L44" s="250"/>
      <c r="M44" s="250"/>
      <c r="N44" s="250"/>
      <c r="O44" s="250"/>
    </row>
    <row r="46" spans="1:17" ht="14.25" x14ac:dyDescent="0.2">
      <c r="Q46" s="40" t="s">
        <v>80</v>
      </c>
    </row>
    <row r="47" spans="1:17" ht="14.25" x14ac:dyDescent="0.2">
      <c r="Q47" s="40" t="s">
        <v>81</v>
      </c>
    </row>
    <row r="48" spans="1:17" ht="14.25" x14ac:dyDescent="0.2">
      <c r="Q48" s="40" t="s">
        <v>82</v>
      </c>
    </row>
    <row r="49" spans="17:17" ht="14.25" x14ac:dyDescent="0.2">
      <c r="Q49" s="40" t="s">
        <v>83</v>
      </c>
    </row>
    <row r="50" spans="17:17" ht="14.25" x14ac:dyDescent="0.2">
      <c r="Q50" s="40" t="s">
        <v>84</v>
      </c>
    </row>
    <row r="51" spans="17:17" ht="14.25" x14ac:dyDescent="0.2">
      <c r="Q51" s="40" t="s">
        <v>85</v>
      </c>
    </row>
    <row r="52" spans="17:17" ht="14.25" x14ac:dyDescent="0.2">
      <c r="Q52" s="40" t="s">
        <v>86</v>
      </c>
    </row>
    <row r="53" spans="17:17" ht="14.25" x14ac:dyDescent="0.2">
      <c r="Q53" s="40" t="s">
        <v>87</v>
      </c>
    </row>
    <row r="54" spans="17:17" ht="14.25" x14ac:dyDescent="0.2">
      <c r="Q54" s="40" t="s">
        <v>88</v>
      </c>
    </row>
    <row r="55" spans="17:17" ht="14.25" x14ac:dyDescent="0.2">
      <c r="Q55" s="40" t="s">
        <v>89</v>
      </c>
    </row>
    <row r="56" spans="17:17" ht="14.25" x14ac:dyDescent="0.2">
      <c r="Q56" s="40" t="s">
        <v>90</v>
      </c>
    </row>
    <row r="57" spans="17:17" ht="14.25" x14ac:dyDescent="0.2">
      <c r="Q57" s="40" t="s">
        <v>91</v>
      </c>
    </row>
    <row r="58" spans="17:17" ht="14.25" x14ac:dyDescent="0.2">
      <c r="Q58" s="40" t="s">
        <v>92</v>
      </c>
    </row>
    <row r="60" spans="17:17" x14ac:dyDescent="0.25">
      <c r="Q60" s="22">
        <v>0.88</v>
      </c>
    </row>
    <row r="61" spans="17:17" x14ac:dyDescent="0.25">
      <c r="Q61" s="22">
        <v>0.9</v>
      </c>
    </row>
  </sheetData>
  <mergeCells count="76">
    <mergeCell ref="A44:O44"/>
    <mergeCell ref="A27:O27"/>
    <mergeCell ref="H24:K24"/>
    <mergeCell ref="A24:C25"/>
    <mergeCell ref="D24:G24"/>
    <mergeCell ref="A26:O26"/>
    <mergeCell ref="A41:M41"/>
    <mergeCell ref="N41:O41"/>
    <mergeCell ref="A42:M42"/>
    <mergeCell ref="N42:O42"/>
    <mergeCell ref="A43:M43"/>
    <mergeCell ref="N43:O43"/>
    <mergeCell ref="A28:M28"/>
    <mergeCell ref="N28:O28"/>
    <mergeCell ref="A29:M29"/>
    <mergeCell ref="N29:O29"/>
    <mergeCell ref="A7:E7"/>
    <mergeCell ref="A18:B18"/>
    <mergeCell ref="A19:B19"/>
    <mergeCell ref="A20:A23"/>
    <mergeCell ref="A17:B17"/>
    <mergeCell ref="A12:O12"/>
    <mergeCell ref="J11:O11"/>
    <mergeCell ref="F7:O7"/>
    <mergeCell ref="A8:E8"/>
    <mergeCell ref="G8:O8"/>
    <mergeCell ref="A9:D10"/>
    <mergeCell ref="E9:E10"/>
    <mergeCell ref="F9:G10"/>
    <mergeCell ref="A14:O14"/>
    <mergeCell ref="A15:O15"/>
    <mergeCell ref="N10:O10"/>
    <mergeCell ref="A11:D11"/>
    <mergeCell ref="F11:G11"/>
    <mergeCell ref="L24:O24"/>
    <mergeCell ref="D25:G25"/>
    <mergeCell ref="H25:K25"/>
    <mergeCell ref="A13:O13"/>
    <mergeCell ref="A16:B16"/>
    <mergeCell ref="L25:O25"/>
    <mergeCell ref="I9:I10"/>
    <mergeCell ref="J9:K10"/>
    <mergeCell ref="L9:O9"/>
    <mergeCell ref="L10:M10"/>
    <mergeCell ref="H9:H10"/>
    <mergeCell ref="D1:O1"/>
    <mergeCell ref="D4:O4"/>
    <mergeCell ref="A5:E5"/>
    <mergeCell ref="F5:O5"/>
    <mergeCell ref="A6:E6"/>
    <mergeCell ref="F6:O6"/>
    <mergeCell ref="A1:C4"/>
    <mergeCell ref="D2:O2"/>
    <mergeCell ref="D3:O3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A39:M39"/>
    <mergeCell ref="N39:O39"/>
    <mergeCell ref="A40:M40"/>
    <mergeCell ref="N40:O40"/>
    <mergeCell ref="A36:M36"/>
    <mergeCell ref="N36:O36"/>
    <mergeCell ref="A37:M37"/>
    <mergeCell ref="N37:O37"/>
    <mergeCell ref="A38:M38"/>
    <mergeCell ref="N38:O38"/>
  </mergeCells>
  <dataValidations count="1">
    <dataValidation type="list" allowBlank="1" showInputMessage="1" showErrorMessage="1" sqref="J11:O11" xr:uid="{00000000-0002-0000-0800-000000000000}">
      <formula1>$Q$46:$Q$58</formula1>
    </dataValidation>
  </dataValidations>
  <pageMargins left="0.39370078740157483" right="0.39370078740157483" top="0.35433070866141736" bottom="0.35433070866141736" header="0" footer="0"/>
  <pageSetup scale="73" orientation="portrait" horizontalDpi="4294967294" verticalDpi="4294967294" r:id="rId1"/>
  <headerFooter alignWithMargins="0">
    <oddFooter>&amp;R&amp;8Diseñado por: Wilson Andrade González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SET SP Paicol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13</vt:lpstr>
      <vt:lpstr>14</vt:lpstr>
      <vt:lpstr>PAICOL2020</vt:lpstr>
      <vt:lpstr>PAICOL2020!Área_de_impresión</vt:lpstr>
      <vt:lpstr>'SET SP Paicol'!Títulos_a_imprimir</vt:lpstr>
    </vt:vector>
  </TitlesOfParts>
  <Company>Windows XP Colossus Edition 2 Reloaded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Colossus User</dc:creator>
  <cp:lastModifiedBy>MIGUEL ANTONIO</cp:lastModifiedBy>
  <cp:lastPrinted>2019-02-07T16:50:26Z</cp:lastPrinted>
  <dcterms:created xsi:type="dcterms:W3CDTF">2010-03-16T20:37:23Z</dcterms:created>
  <dcterms:modified xsi:type="dcterms:W3CDTF">2026-07-02T15:55:46Z</dcterms:modified>
</cp:coreProperties>
</file>